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bfernekees/Documents/"/>
    </mc:Choice>
  </mc:AlternateContent>
  <xr:revisionPtr revIDLastSave="0" documentId="13_ncr:1_{1C3CF713-E0C1-EB42-8C24-4B21283243A2}" xr6:coauthVersionLast="36" xr6:coauthVersionMax="36" xr10:uidLastSave="{00000000-0000-0000-0000-000000000000}"/>
  <bookViews>
    <workbookView xWindow="1980" yWindow="2460" windowWidth="26440" windowHeight="14440" xr2:uid="{0F6C9362-F285-5142-A11B-258180B42B71}"/>
  </bookViews>
  <sheets>
    <sheet name="Charles Schwab" sheetId="1" r:id="rId1"/>
  </sheets>
  <definedNames>
    <definedName name="_xlnm._FilterDatabase" localSheetId="0" hidden="1">'Charles Schwab'!$A$1:$AR$20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AE20" i="1"/>
  <c r="AD20" i="1"/>
  <c r="AC20" i="1"/>
  <c r="AB20" i="1"/>
  <c r="AA20" i="1"/>
  <c r="Z20" i="1"/>
  <c r="Y20" i="1"/>
  <c r="X20" i="1"/>
  <c r="W20" i="1"/>
  <c r="V20" i="1"/>
  <c r="U20" i="1"/>
  <c r="T20" i="1"/>
  <c r="Q20" i="1"/>
  <c r="P20" i="1"/>
  <c r="K20" i="1"/>
  <c r="S20" i="1" s="1"/>
  <c r="J20" i="1"/>
  <c r="F20" i="1"/>
  <c r="C20" i="1"/>
  <c r="G20" i="1" s="1"/>
  <c r="B20" i="1"/>
  <c r="AE19" i="1"/>
  <c r="AD19" i="1"/>
  <c r="AC19" i="1"/>
  <c r="AB19" i="1"/>
  <c r="AA19" i="1"/>
  <c r="Z19" i="1"/>
  <c r="Y19" i="1"/>
  <c r="X19" i="1"/>
  <c r="W19" i="1"/>
  <c r="V19" i="1"/>
  <c r="U19" i="1"/>
  <c r="T19" i="1"/>
  <c r="Q19" i="1"/>
  <c r="P19" i="1"/>
  <c r="J19" i="1"/>
  <c r="F19" i="1"/>
  <c r="C19" i="1"/>
  <c r="G19" i="1" s="1"/>
  <c r="H19" i="1" s="1"/>
  <c r="I19" i="1" s="1"/>
  <c r="B19" i="1"/>
  <c r="AE18" i="1"/>
  <c r="AD18" i="1"/>
  <c r="AC18" i="1"/>
  <c r="AB18" i="1"/>
  <c r="AA18" i="1"/>
  <c r="Z18" i="1"/>
  <c r="Y18" i="1"/>
  <c r="X18" i="1"/>
  <c r="W18" i="1"/>
  <c r="V18" i="1"/>
  <c r="U18" i="1"/>
  <c r="T18" i="1"/>
  <c r="Q18" i="1"/>
  <c r="P18" i="1"/>
  <c r="J18" i="1"/>
  <c r="F18" i="1"/>
  <c r="C18" i="1"/>
  <c r="G18" i="1" s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Q17" i="1"/>
  <c r="P17" i="1"/>
  <c r="J17" i="1"/>
  <c r="K17" i="1" s="1"/>
  <c r="F17" i="1"/>
  <c r="C17" i="1"/>
  <c r="G17" i="1" s="1"/>
  <c r="B17" i="1"/>
  <c r="AE16" i="1"/>
  <c r="AD16" i="1"/>
  <c r="AC16" i="1"/>
  <c r="AB16" i="1"/>
  <c r="AA16" i="1"/>
  <c r="Z16" i="1"/>
  <c r="Y16" i="1"/>
  <c r="X16" i="1"/>
  <c r="W16" i="1"/>
  <c r="V16" i="1"/>
  <c r="U16" i="1"/>
  <c r="T16" i="1"/>
  <c r="Q16" i="1"/>
  <c r="P16" i="1"/>
  <c r="J16" i="1"/>
  <c r="F16" i="1"/>
  <c r="C16" i="1"/>
  <c r="G16" i="1" s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Q15" i="1"/>
  <c r="P15" i="1"/>
  <c r="J15" i="1"/>
  <c r="F15" i="1"/>
  <c r="C15" i="1"/>
  <c r="G15" i="1" s="1"/>
  <c r="B15" i="1"/>
  <c r="AE14" i="1"/>
  <c r="AD14" i="1"/>
  <c r="AC14" i="1"/>
  <c r="AB14" i="1"/>
  <c r="AA14" i="1"/>
  <c r="Z14" i="1"/>
  <c r="Y14" i="1"/>
  <c r="X14" i="1"/>
  <c r="W14" i="1"/>
  <c r="V14" i="1"/>
  <c r="U14" i="1"/>
  <c r="T14" i="1"/>
  <c r="Q14" i="1"/>
  <c r="P14" i="1"/>
  <c r="J14" i="1"/>
  <c r="K14" i="1" s="1"/>
  <c r="F14" i="1"/>
  <c r="C14" i="1"/>
  <c r="G14" i="1" s="1"/>
  <c r="B14" i="1"/>
  <c r="AE13" i="1"/>
  <c r="AD13" i="1"/>
  <c r="AC13" i="1"/>
  <c r="AB13" i="1"/>
  <c r="AA13" i="1"/>
  <c r="Z13" i="1"/>
  <c r="Y13" i="1"/>
  <c r="X13" i="1"/>
  <c r="W13" i="1"/>
  <c r="V13" i="1"/>
  <c r="U13" i="1"/>
  <c r="T13" i="1"/>
  <c r="Q13" i="1"/>
  <c r="P13" i="1"/>
  <c r="J13" i="1"/>
  <c r="F13" i="1"/>
  <c r="C13" i="1"/>
  <c r="G13" i="1" s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Q12" i="1"/>
  <c r="P12" i="1"/>
  <c r="J12" i="1"/>
  <c r="K12" i="1" s="1"/>
  <c r="S12" i="1" s="1"/>
  <c r="F12" i="1"/>
  <c r="C12" i="1"/>
  <c r="G12" i="1" s="1"/>
  <c r="B12" i="1"/>
  <c r="AE11" i="1"/>
  <c r="AD11" i="1"/>
  <c r="AC11" i="1"/>
  <c r="AB11" i="1"/>
  <c r="AA11" i="1"/>
  <c r="Z11" i="1"/>
  <c r="Y11" i="1"/>
  <c r="X11" i="1"/>
  <c r="W11" i="1"/>
  <c r="V11" i="1"/>
  <c r="U11" i="1"/>
  <c r="T11" i="1"/>
  <c r="Q11" i="1"/>
  <c r="P11" i="1"/>
  <c r="J11" i="1"/>
  <c r="F11" i="1"/>
  <c r="C11" i="1"/>
  <c r="G11" i="1" s="1"/>
  <c r="B11" i="1"/>
  <c r="AE10" i="1"/>
  <c r="AD10" i="1"/>
  <c r="AC10" i="1"/>
  <c r="AB10" i="1"/>
  <c r="AA10" i="1"/>
  <c r="Z10" i="1"/>
  <c r="Y10" i="1"/>
  <c r="X10" i="1"/>
  <c r="W10" i="1"/>
  <c r="V10" i="1"/>
  <c r="U10" i="1"/>
  <c r="T10" i="1"/>
  <c r="Q10" i="1"/>
  <c r="P10" i="1"/>
  <c r="J10" i="1"/>
  <c r="F10" i="1"/>
  <c r="C10" i="1"/>
  <c r="G10" i="1" s="1"/>
  <c r="B10" i="1"/>
  <c r="AE9" i="1"/>
  <c r="AD9" i="1"/>
  <c r="AC9" i="1"/>
  <c r="AB9" i="1"/>
  <c r="AA9" i="1"/>
  <c r="Z9" i="1"/>
  <c r="Y9" i="1"/>
  <c r="X9" i="1"/>
  <c r="W9" i="1"/>
  <c r="V9" i="1"/>
  <c r="U9" i="1"/>
  <c r="T9" i="1"/>
  <c r="Q9" i="1"/>
  <c r="P9" i="1"/>
  <c r="J9" i="1"/>
  <c r="K9" i="1" s="1"/>
  <c r="F9" i="1"/>
  <c r="C9" i="1"/>
  <c r="G9" i="1" s="1"/>
  <c r="B9" i="1"/>
  <c r="AE8" i="1"/>
  <c r="AD8" i="1"/>
  <c r="AC8" i="1"/>
  <c r="AB8" i="1"/>
  <c r="AA8" i="1"/>
  <c r="Z8" i="1"/>
  <c r="Y8" i="1"/>
  <c r="X8" i="1"/>
  <c r="W8" i="1"/>
  <c r="V8" i="1"/>
  <c r="U8" i="1"/>
  <c r="T8" i="1"/>
  <c r="Q8" i="1"/>
  <c r="P8" i="1"/>
  <c r="J8" i="1"/>
  <c r="F8" i="1"/>
  <c r="C8" i="1"/>
  <c r="G8" i="1" s="1"/>
  <c r="B8" i="1"/>
  <c r="AE7" i="1"/>
  <c r="AD7" i="1"/>
  <c r="AC7" i="1"/>
  <c r="AB7" i="1"/>
  <c r="AA7" i="1"/>
  <c r="Z7" i="1"/>
  <c r="Y7" i="1"/>
  <c r="X7" i="1"/>
  <c r="W7" i="1"/>
  <c r="V7" i="1"/>
  <c r="U7" i="1"/>
  <c r="T7" i="1"/>
  <c r="Q7" i="1"/>
  <c r="P7" i="1"/>
  <c r="J7" i="1"/>
  <c r="F7" i="1"/>
  <c r="C7" i="1"/>
  <c r="G7" i="1" s="1"/>
  <c r="B7" i="1"/>
  <c r="AE6" i="1"/>
  <c r="AD6" i="1"/>
  <c r="AC6" i="1"/>
  <c r="AB6" i="1"/>
  <c r="AA6" i="1"/>
  <c r="Z6" i="1"/>
  <c r="Y6" i="1"/>
  <c r="X6" i="1"/>
  <c r="W6" i="1"/>
  <c r="V6" i="1"/>
  <c r="U6" i="1"/>
  <c r="T6" i="1"/>
  <c r="Q6" i="1"/>
  <c r="P6" i="1"/>
  <c r="J6" i="1"/>
  <c r="K6" i="1" s="1"/>
  <c r="F6" i="1"/>
  <c r="C6" i="1"/>
  <c r="G6" i="1" s="1"/>
  <c r="B6" i="1"/>
  <c r="AE5" i="1"/>
  <c r="AD5" i="1"/>
  <c r="AC5" i="1"/>
  <c r="AB5" i="1"/>
  <c r="AA5" i="1"/>
  <c r="Z5" i="1"/>
  <c r="Y5" i="1"/>
  <c r="X5" i="1"/>
  <c r="W5" i="1"/>
  <c r="V5" i="1"/>
  <c r="U5" i="1"/>
  <c r="T5" i="1"/>
  <c r="Q5" i="1"/>
  <c r="P5" i="1"/>
  <c r="J5" i="1"/>
  <c r="F5" i="1"/>
  <c r="C5" i="1"/>
  <c r="G5" i="1" s="1"/>
  <c r="B5" i="1"/>
  <c r="AE4" i="1"/>
  <c r="AD4" i="1"/>
  <c r="AC4" i="1"/>
  <c r="AB4" i="1"/>
  <c r="AA4" i="1"/>
  <c r="Z4" i="1"/>
  <c r="Y4" i="1"/>
  <c r="X4" i="1"/>
  <c r="W4" i="1"/>
  <c r="V4" i="1"/>
  <c r="U4" i="1"/>
  <c r="T4" i="1"/>
  <c r="Q4" i="1"/>
  <c r="P4" i="1"/>
  <c r="J4" i="1"/>
  <c r="K4" i="1" s="1"/>
  <c r="S4" i="1" s="1"/>
  <c r="F4" i="1"/>
  <c r="C4" i="1"/>
  <c r="G4" i="1" s="1"/>
  <c r="B4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Q3" i="1"/>
  <c r="P3" i="1"/>
  <c r="K3" i="1"/>
  <c r="L3" i="1" s="1"/>
  <c r="F3" i="1"/>
  <c r="C3" i="1"/>
  <c r="M3" i="1" s="1"/>
  <c r="B3" i="1"/>
  <c r="AE2" i="1"/>
  <c r="AD2" i="1"/>
  <c r="AC2" i="1"/>
  <c r="AB2" i="1"/>
  <c r="AA2" i="1"/>
  <c r="Z2" i="1"/>
  <c r="Y2" i="1"/>
  <c r="X2" i="1"/>
  <c r="W2" i="1"/>
  <c r="V2" i="1"/>
  <c r="U2" i="1"/>
  <c r="T2" i="1"/>
  <c r="Q2" i="1"/>
  <c r="P2" i="1"/>
  <c r="J2" i="1"/>
  <c r="F2" i="1"/>
  <c r="C2" i="1"/>
  <c r="G2" i="1" s="1"/>
  <c r="B2" i="1"/>
  <c r="M8" i="1" l="1"/>
  <c r="M16" i="1"/>
  <c r="M10" i="1"/>
  <c r="H11" i="1"/>
  <c r="I11" i="1" s="1"/>
  <c r="M11" i="1"/>
  <c r="W21" i="1"/>
  <c r="F21" i="1"/>
  <c r="X21" i="1"/>
  <c r="M18" i="1"/>
  <c r="M2" i="1"/>
  <c r="M5" i="1"/>
  <c r="M15" i="1"/>
  <c r="M19" i="1"/>
  <c r="M7" i="1"/>
  <c r="K10" i="1"/>
  <c r="L10" i="1" s="1"/>
  <c r="M13" i="1"/>
  <c r="S17" i="1"/>
  <c r="L17" i="1"/>
  <c r="H18" i="1"/>
  <c r="I18" i="1" s="1"/>
  <c r="H2" i="1"/>
  <c r="H5" i="1"/>
  <c r="I5" i="1" s="1"/>
  <c r="L14" i="1"/>
  <c r="S14" i="1"/>
  <c r="H15" i="1"/>
  <c r="I15" i="1" s="1"/>
  <c r="H9" i="1"/>
  <c r="I9" i="1" s="1"/>
  <c r="H12" i="1"/>
  <c r="I12" i="1" s="1"/>
  <c r="S9" i="1"/>
  <c r="L9" i="1"/>
  <c r="H10" i="1"/>
  <c r="I10" i="1" s="1"/>
  <c r="O3" i="1"/>
  <c r="L6" i="1"/>
  <c r="S6" i="1"/>
  <c r="H7" i="1"/>
  <c r="I7" i="1" s="1"/>
  <c r="H13" i="1"/>
  <c r="I13" i="1" s="1"/>
  <c r="H20" i="1"/>
  <c r="I20" i="1" s="1"/>
  <c r="H6" i="1"/>
  <c r="I6" i="1" s="1"/>
  <c r="H4" i="1"/>
  <c r="I4" i="1" s="1"/>
  <c r="H17" i="1"/>
  <c r="I17" i="1" s="1"/>
  <c r="H14" i="1"/>
  <c r="I14" i="1" s="1"/>
  <c r="M6" i="1"/>
  <c r="M14" i="1"/>
  <c r="L4" i="1"/>
  <c r="K7" i="1"/>
  <c r="H8" i="1"/>
  <c r="I8" i="1" s="1"/>
  <c r="M9" i="1"/>
  <c r="L12" i="1"/>
  <c r="K15" i="1"/>
  <c r="H16" i="1"/>
  <c r="I16" i="1" s="1"/>
  <c r="M17" i="1"/>
  <c r="L20" i="1"/>
  <c r="G3" i="1"/>
  <c r="M4" i="1"/>
  <c r="M12" i="1"/>
  <c r="K18" i="1"/>
  <c r="M20" i="1"/>
  <c r="K2" i="1"/>
  <c r="K5" i="1"/>
  <c r="K13" i="1"/>
  <c r="K8" i="1"/>
  <c r="K16" i="1"/>
  <c r="K11" i="1"/>
  <c r="K19" i="1"/>
  <c r="O10" i="1" l="1"/>
  <c r="O12" i="1"/>
  <c r="O14" i="1"/>
  <c r="O6" i="1"/>
  <c r="S10" i="1"/>
  <c r="O4" i="1"/>
  <c r="L19" i="1"/>
  <c r="O19" i="1" s="1"/>
  <c r="S19" i="1"/>
  <c r="L13" i="1"/>
  <c r="O13" i="1" s="1"/>
  <c r="S13" i="1"/>
  <c r="H3" i="1"/>
  <c r="I3" i="1" s="1"/>
  <c r="I2" i="1"/>
  <c r="L2" i="1"/>
  <c r="O2" i="1" s="1"/>
  <c r="S2" i="1"/>
  <c r="K21" i="1"/>
  <c r="O20" i="1"/>
  <c r="O9" i="1"/>
  <c r="L5" i="1"/>
  <c r="O5" i="1" s="1"/>
  <c r="S5" i="1"/>
  <c r="L7" i="1"/>
  <c r="O7" i="1" s="1"/>
  <c r="S7" i="1"/>
  <c r="L18" i="1"/>
  <c r="O18" i="1" s="1"/>
  <c r="S18" i="1"/>
  <c r="O17" i="1"/>
  <c r="L11" i="1"/>
  <c r="O11" i="1" s="1"/>
  <c r="S11" i="1"/>
  <c r="G21" i="1"/>
  <c r="N3" i="1" s="1"/>
  <c r="L16" i="1"/>
  <c r="O16" i="1" s="1"/>
  <c r="S16" i="1"/>
  <c r="L8" i="1"/>
  <c r="O8" i="1" s="1"/>
  <c r="S8" i="1"/>
  <c r="L15" i="1"/>
  <c r="O15" i="1" s="1"/>
  <c r="S15" i="1"/>
  <c r="H21" i="1" l="1"/>
  <c r="I21" i="1"/>
  <c r="N19" i="1"/>
  <c r="N11" i="1"/>
  <c r="N7" i="1"/>
  <c r="N13" i="1"/>
  <c r="N2" i="1"/>
  <c r="N8" i="1"/>
  <c r="N12" i="1"/>
  <c r="N6" i="1"/>
  <c r="N10" i="1"/>
  <c r="N17" i="1"/>
  <c r="N16" i="1"/>
  <c r="N18" i="1"/>
  <c r="N4" i="1"/>
  <c r="N15" i="1"/>
  <c r="N5" i="1"/>
  <c r="N9" i="1"/>
  <c r="N20" i="1"/>
  <c r="N14" i="1"/>
  <c r="S21" i="1"/>
  <c r="O21" i="1"/>
</calcChain>
</file>

<file path=xl/sharedStrings.xml><?xml version="1.0" encoding="utf-8"?>
<sst xmlns="http://schemas.openxmlformats.org/spreadsheetml/2006/main" count="53" uniqueCount="52">
  <si>
    <t>Ticker</t>
  </si>
  <si>
    <t>Name</t>
  </si>
  <si>
    <t>Quote</t>
  </si>
  <si>
    <t>Quantity</t>
  </si>
  <si>
    <t>Avg. Cost per share</t>
  </si>
  <si>
    <t>Cost Basis</t>
  </si>
  <si>
    <t>Market Value</t>
  </si>
  <si>
    <t>Change $</t>
  </si>
  <si>
    <t>Change %</t>
  </si>
  <si>
    <t>Dividend per Share</t>
  </si>
  <si>
    <t>Annual Div Income</t>
  </si>
  <si>
    <t>Yield on Cost</t>
  </si>
  <si>
    <t>Annual Yield</t>
  </si>
  <si>
    <t>Weight</t>
  </si>
  <si>
    <t>Yield Change</t>
  </si>
  <si>
    <t>P/E Ratio</t>
  </si>
  <si>
    <t>EPS</t>
  </si>
  <si>
    <t>Annual Div Payout Periods</t>
  </si>
  <si>
    <t>Div per Payout</t>
  </si>
  <si>
    <t>52 Week High</t>
  </si>
  <si>
    <t>52 Week Low</t>
  </si>
  <si>
    <t>Market Cap</t>
  </si>
  <si>
    <t>Daily Change $</t>
  </si>
  <si>
    <t>Daily Change %</t>
  </si>
  <si>
    <t>Beta</t>
  </si>
  <si>
    <t>Earnings Date</t>
  </si>
  <si>
    <t>Perf Week</t>
  </si>
  <si>
    <t>Perf Month</t>
  </si>
  <si>
    <t xml:space="preserve">Perf Quarter </t>
  </si>
  <si>
    <t>Perf YTD</t>
  </si>
  <si>
    <t>Perf Year</t>
  </si>
  <si>
    <t>ABBV</t>
  </si>
  <si>
    <t>LTC</t>
  </si>
  <si>
    <t>T</t>
  </si>
  <si>
    <t>MO</t>
  </si>
  <si>
    <t>F</t>
  </si>
  <si>
    <t>BAC</t>
  </si>
  <si>
    <t>AAPL</t>
  </si>
  <si>
    <t>MSFT</t>
  </si>
  <si>
    <t>MMM</t>
  </si>
  <si>
    <t>O</t>
  </si>
  <si>
    <t>SPHD</t>
  </si>
  <si>
    <t>MAIN</t>
  </si>
  <si>
    <t>PM</t>
  </si>
  <si>
    <t>STAG</t>
  </si>
  <si>
    <t>JNJ</t>
  </si>
  <si>
    <t>PSX</t>
  </si>
  <si>
    <t>XOM</t>
  </si>
  <si>
    <t>TGT</t>
  </si>
  <si>
    <t>SO</t>
  </si>
  <si>
    <t>TOTALS</t>
  </si>
  <si>
    <t>Portfolio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</si>
</sst>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7E3794"/>
      <name val="Inconsolata"/>
    </font>
    <font>
      <sz val="11"/>
      <name val="Calibri"/>
    </font>
    <font>
      <sz val="11"/>
      <color rgb="FF000000"/>
      <name val="Inconsolata"/>
    </font>
    <font>
      <b/>
      <sz val="11"/>
      <color rgb="FF313131"/>
      <name val="Open Sans"/>
    </font>
    <font>
      <sz val="11"/>
      <color rgb="FF3E3E3E"/>
      <name val="Arial"/>
    </font>
    <font>
      <b/>
      <sz val="11"/>
      <name val="Arial"/>
    </font>
    <font>
      <b/>
      <sz val="11"/>
      <color rgb="FF000000"/>
      <name val="Calibri"/>
    </font>
    <font>
      <b/>
      <sz val="12"/>
      <color rgb="FF000000"/>
      <name val="Inconsolata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DD0E1"/>
        <bgColor rgb="FF4DD0E1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rgb="FFFFFF00"/>
        <bgColor rgb="FFFFFF00"/>
      </patternFill>
    </fill>
    <fill>
      <patternFill patternType="solid">
        <fgColor rgb="FFF4C7C3"/>
        <bgColor rgb="FFF4C7C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10" fontId="2" fillId="2" borderId="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0" fillId="0" borderId="0" xfId="0" applyFont="1" applyAlignment="1"/>
    <xf numFmtId="0" fontId="2" fillId="3" borderId="5" xfId="0" applyFont="1" applyFill="1" applyBorder="1" applyAlignment="1"/>
    <xf numFmtId="0" fontId="2" fillId="3" borderId="3" xfId="0" applyFont="1" applyFill="1" applyBorder="1" applyAlignment="1"/>
    <xf numFmtId="164" fontId="2" fillId="3" borderId="3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0" fontId="3" fillId="3" borderId="3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0" fontId="2" fillId="3" borderId="3" xfId="0" applyNumberFormat="1" applyFont="1" applyFill="1" applyBorder="1" applyAlignment="1">
      <alignment horizontal="right"/>
    </xf>
    <xf numFmtId="10" fontId="2" fillId="3" borderId="0" xfId="0" applyNumberFormat="1" applyFont="1" applyFill="1"/>
    <xf numFmtId="0" fontId="5" fillId="3" borderId="3" xfId="0" applyFont="1" applyFill="1" applyBorder="1" applyAlignment="1">
      <alignment horizontal="right"/>
    </xf>
    <xf numFmtId="10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0" fontId="2" fillId="3" borderId="0" xfId="0" applyNumberFormat="1" applyFont="1" applyFill="1" applyAlignment="1"/>
    <xf numFmtId="0" fontId="2" fillId="4" borderId="5" xfId="0" applyFont="1" applyFill="1" applyBorder="1" applyAlignment="1"/>
    <xf numFmtId="10" fontId="2" fillId="4" borderId="3" xfId="0" applyNumberFormat="1" applyFont="1" applyFill="1" applyBorder="1" applyAlignment="1"/>
    <xf numFmtId="164" fontId="2" fillId="4" borderId="3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10" fontId="3" fillId="4" borderId="3" xfId="0" applyNumberFormat="1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10" fontId="2" fillId="4" borderId="3" xfId="0" applyNumberFormat="1" applyFont="1" applyFill="1" applyBorder="1" applyAlignment="1">
      <alignment horizontal="right"/>
    </xf>
    <xf numFmtId="10" fontId="2" fillId="4" borderId="0" xfId="0" applyNumberFormat="1" applyFont="1" applyFill="1"/>
    <xf numFmtId="0" fontId="5" fillId="4" borderId="3" xfId="0" applyFont="1" applyFill="1" applyBorder="1" applyAlignment="1">
      <alignment horizontal="right"/>
    </xf>
    <xf numFmtId="10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6" fillId="4" borderId="0" xfId="0" applyFont="1" applyFill="1" applyAlignment="1"/>
    <xf numFmtId="0" fontId="2" fillId="4" borderId="3" xfId="0" applyFont="1" applyFill="1" applyBorder="1" applyAlignment="1"/>
    <xf numFmtId="0" fontId="2" fillId="4" borderId="0" xfId="0" applyFont="1" applyFill="1" applyAlignment="1"/>
    <xf numFmtId="0" fontId="2" fillId="4" borderId="6" xfId="0" applyFont="1" applyFill="1" applyBorder="1" applyAlignment="1"/>
    <xf numFmtId="10" fontId="6" fillId="4" borderId="0" xfId="0" applyNumberFormat="1" applyFont="1" applyFill="1" applyAlignment="1"/>
    <xf numFmtId="0" fontId="7" fillId="4" borderId="5" xfId="0" applyFont="1" applyFill="1" applyBorder="1" applyAlignment="1"/>
    <xf numFmtId="10" fontId="2" fillId="4" borderId="0" xfId="0" applyNumberFormat="1" applyFont="1" applyFill="1" applyAlignment="1"/>
    <xf numFmtId="0" fontId="5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0" fontId="5" fillId="3" borderId="3" xfId="0" applyNumberFormat="1" applyFont="1" applyFill="1" applyBorder="1" applyAlignment="1">
      <alignment horizontal="right"/>
    </xf>
    <xf numFmtId="0" fontId="6" fillId="3" borderId="0" xfId="0" applyFont="1" applyFill="1" applyAlignment="1"/>
    <xf numFmtId="10" fontId="2" fillId="3" borderId="0" xfId="0" applyNumberFormat="1" applyFont="1" applyFill="1" applyAlignment="1">
      <alignment horizontal="right"/>
    </xf>
    <xf numFmtId="0" fontId="8" fillId="3" borderId="5" xfId="0" applyFont="1" applyFill="1" applyBorder="1" applyAlignment="1"/>
    <xf numFmtId="0" fontId="8" fillId="3" borderId="3" xfId="0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10" fontId="8" fillId="3" borderId="3" xfId="0" applyNumberFormat="1" applyFont="1" applyFill="1" applyBorder="1" applyAlignment="1">
      <alignment horizontal="right"/>
    </xf>
    <xf numFmtId="164" fontId="8" fillId="5" borderId="3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right"/>
    </xf>
    <xf numFmtId="10" fontId="2" fillId="6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3" borderId="0" xfId="0" applyFont="1" applyFill="1" applyAlignment="1"/>
    <xf numFmtId="10" fontId="9" fillId="3" borderId="0" xfId="0" applyNumberFormat="1" applyFont="1" applyFill="1" applyAlignment="1">
      <alignment horizontal="right"/>
    </xf>
    <xf numFmtId="0" fontId="11" fillId="0" borderId="0" xfId="0" applyFont="1"/>
    <xf numFmtId="10" fontId="10" fillId="0" borderId="0" xfId="0" applyNumberFormat="1" applyFont="1"/>
  </cellXfs>
  <cellStyles count="1">
    <cellStyle name="Normal" xfId="0" builtinId="0"/>
  </cellStyles>
  <dxfs count="1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8478-AA60-2442-800D-41AB1C0B4C2B}">
  <sheetPr>
    <outlinePr summaryBelow="0" summaryRight="0"/>
  </sheetPr>
  <dimension ref="A1:AR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3" sqref="M23"/>
    </sheetView>
  </sheetViews>
  <sheetFormatPr baseColWidth="10" defaultColWidth="14.5" defaultRowHeight="15.75" customHeight="1"/>
  <cols>
    <col min="1" max="1" width="10.83203125" style="10" customWidth="1"/>
    <col min="2" max="2" width="17.83203125" style="10" customWidth="1"/>
    <col min="3" max="3" width="7.83203125" style="10" customWidth="1"/>
    <col min="4" max="4" width="8.6640625" style="10" customWidth="1"/>
    <col min="5" max="5" width="10" style="10" customWidth="1"/>
    <col min="6" max="6" width="11" style="10" customWidth="1"/>
    <col min="7" max="7" width="10.6640625" style="10" customWidth="1"/>
    <col min="8" max="8" width="9.5" style="10" customWidth="1"/>
    <col min="9" max="9" width="8" style="10" customWidth="1"/>
    <col min="10" max="10" width="14.83203125" style="10" customWidth="1"/>
    <col min="11" max="11" width="15" style="10" customWidth="1"/>
    <col min="12" max="13" width="14" style="10" customWidth="1"/>
    <col min="14" max="15" width="16.5" style="10" customWidth="1"/>
    <col min="16" max="16" width="11.5" style="10" customWidth="1"/>
    <col min="17" max="17" width="7.1640625" style="10" customWidth="1"/>
    <col min="18" max="18" width="9.83203125" style="10" customWidth="1"/>
    <col min="19" max="21" width="14.5" style="10"/>
    <col min="22" max="22" width="19.83203125" style="10" bestFit="1" customWidth="1"/>
    <col min="23" max="23" width="17.33203125" style="10" customWidth="1"/>
    <col min="24" max="32" width="14.5" style="10"/>
    <col min="33" max="33" width="20.33203125" style="10" customWidth="1"/>
    <col min="34" max="16384" width="14.5" style="10"/>
  </cols>
  <sheetData>
    <row r="1" spans="1:44" ht="5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4" t="s">
        <v>13</v>
      </c>
      <c r="O1" s="2" t="s">
        <v>14</v>
      </c>
      <c r="P1" s="2" t="s">
        <v>15</v>
      </c>
      <c r="Q1" s="2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6" t="s">
        <v>21</v>
      </c>
      <c r="W1" s="7" t="s">
        <v>22</v>
      </c>
      <c r="X1" s="8" t="s">
        <v>23</v>
      </c>
      <c r="Y1" s="8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9" t="s">
        <v>29</v>
      </c>
      <c r="AE1" s="6" t="s">
        <v>30</v>
      </c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5">
      <c r="A2" s="11" t="s">
        <v>31</v>
      </c>
      <c r="B2" s="12" t="str">
        <f ca="1">IFERROR(__xludf.DUMMYFUNCTION("GOOGLEFINANCE(A2,""name"")"),"AbbVie Inc")</f>
        <v>AbbVie Inc</v>
      </c>
      <c r="C2" s="13">
        <f ca="1">IFERROR(__xludf.DUMMYFUNCTION("googlefinance(A2,""price"")"),79.03)</f>
        <v>79.03</v>
      </c>
      <c r="D2" s="14">
        <v>10</v>
      </c>
      <c r="E2" s="13">
        <v>76.77</v>
      </c>
      <c r="F2" s="13">
        <f t="shared" ref="F2:F20" si="0">(D2*E2)</f>
        <v>767.69999999999993</v>
      </c>
      <c r="G2" s="13">
        <f t="shared" ref="G2:G20" ca="1" si="1">C2*D2</f>
        <v>790.3</v>
      </c>
      <c r="H2" s="15">
        <f t="shared" ref="H2:H20" ca="1" si="2">G2-F2</f>
        <v>22.600000000000023</v>
      </c>
      <c r="I2" s="16">
        <f t="shared" ref="I2:I20" ca="1" si="3">(H2/F2)</f>
        <v>2.9438582779731697E-2</v>
      </c>
      <c r="J2" s="13" t="str">
        <f ca="1">IFERROR(__xludf.DUMMYFUNCTION("SUBSTITUTE(index(IMPORTHTML(""http://finviz.com/quote.ashx?t=""&amp;A2,""table"", 11),7,2),""*"","""")"),"4.28")</f>
        <v>4.28</v>
      </c>
      <c r="K2" s="17">
        <f t="shared" ref="K2:K20" ca="1" si="4">D2*J2</f>
        <v>42.800000000000004</v>
      </c>
      <c r="L2" s="18">
        <f t="shared" ref="L2:L20" ca="1" si="5">(K2/F2)</f>
        <v>5.5750944379314847E-2</v>
      </c>
      <c r="M2" s="18">
        <f t="shared" ref="M2:M20" ca="1" si="6">(J2/C2)</f>
        <v>5.4156649373655573E-2</v>
      </c>
      <c r="N2" s="18">
        <f t="shared" ref="N2:N20" ca="1" si="7">G2/$G$21</f>
        <v>0.18131844180396131</v>
      </c>
      <c r="O2" s="19">
        <f t="shared" ref="O2:O20" ca="1" si="8">L2-M2</f>
        <v>1.5942950056592742E-3</v>
      </c>
      <c r="P2" s="20">
        <f ca="1">IFERROR(__xludf.DUMMYFUNCTION("googlefinance(A2,""pe"")"),21.27)</f>
        <v>21.27</v>
      </c>
      <c r="Q2" s="14">
        <f ca="1">IFERROR(__xludf.DUMMYFUNCTION("googlefinance(A2,""eps"")"),3.71)</f>
        <v>3.71</v>
      </c>
      <c r="R2" s="13">
        <v>4</v>
      </c>
      <c r="S2" s="13">
        <f t="shared" ref="S2:S20" ca="1" si="9">K2/R2</f>
        <v>10.700000000000001</v>
      </c>
      <c r="T2" s="13">
        <f ca="1">IFERROR(__xludf.DUMMYFUNCTION("GOOGLEFINANCE(A2,""high52"")"),94.98)</f>
        <v>94.98</v>
      </c>
      <c r="U2" s="13">
        <f ca="1">IFERROR(__xludf.DUMMYFUNCTION("googlefinance(A2,""low52"")"),62.66)</f>
        <v>62.66</v>
      </c>
      <c r="V2" s="13">
        <f ca="1">IFERROR(__xludf.DUMMYFUNCTION("GOOGLEFINANCE(A2,""Marketcap"")"),117317703144)</f>
        <v>117317703144</v>
      </c>
      <c r="W2" s="13">
        <f ca="1">IFERROR(__xludf.DUMMYFUNCTION("googlefinance(A2,""change"")"),0.57)</f>
        <v>0.56999999999999995</v>
      </c>
      <c r="X2" s="18">
        <f ca="1">IFERROR(__xludf.DUMMYFUNCTION("googlefinance(A2,""changepct"")/100"),0.0073)</f>
        <v>7.3000000000000001E-3</v>
      </c>
      <c r="Y2" s="13">
        <f ca="1">IFERROR(__xludf.DUMMYFUNCTION("GOOGLEFINANCE(A2,""beta"")"),0.99)</f>
        <v>0.99</v>
      </c>
      <c r="Z2" s="21" t="str">
        <f ca="1">IFERROR(__xludf.DUMMYFUNCTION("SUBSTITUTE(index(IMPORTHTML(""http://finviz.com/quote.ashx?t=""&amp;A2,""table"", 11),11,6),""*"","""")"),"Nov 01 BMO")</f>
        <v>Nov 01 BMO</v>
      </c>
      <c r="AA2" s="22" t="str">
        <f ca="1">IFERROR(__xludf.DUMMYFUNCTION("SUBSTITUTE(index(IMPORTHTML(""http://finviz.com/quote.ashx?t=""&amp;A2,""table"", 11),1,12),""*"","""")"),"0.77%")</f>
        <v>0.77%</v>
      </c>
      <c r="AB2" s="22" t="str">
        <f ca="1">IFERROR(__xludf.DUMMYFUNCTION("SUBSTITUTE(index(IMPORTHTML(""http://finviz.com/quote.ashx?t=""&amp;A2,""table"", 11),2,12),""*"","""")"),"3.63%")</f>
        <v>3.63%</v>
      </c>
      <c r="AC2" s="22" t="str">
        <f ca="1">IFERROR(__xludf.DUMMYFUNCTION("SUBSTITUTE(index(IMPORTHTML(""http://finviz.com/quote.ashx?t=""&amp;A2,""table"", 11),3,12),""*"","""")"),"17.79%")</f>
        <v>17.79%</v>
      </c>
      <c r="AD2" s="22" t="str">
        <f ca="1">IFERROR(__xludf.DUMMYFUNCTION("SUBSTITUTE(index(IMPORTHTML(""http://finviz.com/quote.ashx?t=""&amp;A2,""table"", 11),6,12),""*"","""")"),"-14.88%")</f>
        <v>-14.88%</v>
      </c>
      <c r="AE2" s="22" t="str">
        <f ca="1">IFERROR(__xludf.DUMMYFUNCTION("SUBSTITUTE(index(IMPORTHTML(""http://finviz.com/quote.ashx?t=""&amp;A2,""table"", 11),5,12),""*"","""")"),"-2.87%")</f>
        <v>-2.87%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15">
      <c r="A3" s="24" t="s">
        <v>32</v>
      </c>
      <c r="B3" s="25" t="str">
        <f ca="1">IFERROR(__xludf.DUMMYFUNCTION("GOOGLEFINANCE(A3,""name"")"),"LTC Properties Inc")</f>
        <v>LTC Properties Inc</v>
      </c>
      <c r="C3" s="26">
        <f ca="1">IFERROR(__xludf.DUMMYFUNCTION("googlefinance(A3,""price"")"),51.37)</f>
        <v>51.37</v>
      </c>
      <c r="D3" s="27">
        <v>10</v>
      </c>
      <c r="E3" s="26">
        <v>51.22</v>
      </c>
      <c r="F3" s="26">
        <f t="shared" si="0"/>
        <v>512.20000000000005</v>
      </c>
      <c r="G3" s="26">
        <f t="shared" ca="1" si="1"/>
        <v>513.69999999999993</v>
      </c>
      <c r="H3" s="28">
        <f t="shared" ca="1" si="2"/>
        <v>1.4999999999998863</v>
      </c>
      <c r="I3" s="29">
        <f t="shared" ca="1" si="3"/>
        <v>2.9285435376803712E-3</v>
      </c>
      <c r="J3" s="27">
        <v>2.2799999999999998</v>
      </c>
      <c r="K3" s="30">
        <f t="shared" si="4"/>
        <v>22.799999999999997</v>
      </c>
      <c r="L3" s="31">
        <f t="shared" si="5"/>
        <v>4.4513861772745009E-2</v>
      </c>
      <c r="M3" s="31">
        <f t="shared" ca="1" si="6"/>
        <v>4.4383881642982285E-2</v>
      </c>
      <c r="N3" s="31">
        <f t="shared" ca="1" si="7"/>
        <v>0.11785813432202319</v>
      </c>
      <c r="O3" s="32">
        <f t="shared" ca="1" si="8"/>
        <v>1.2998012976272316E-4</v>
      </c>
      <c r="P3" s="33">
        <f ca="1">IFERROR(__xludf.DUMMYFUNCTION("googlefinance(A3,""pe"")"),13.21)</f>
        <v>13.21</v>
      </c>
      <c r="Q3" s="27">
        <f ca="1">IFERROR(__xludf.DUMMYFUNCTION("googlefinance(A3,""eps"")"),3.89)</f>
        <v>3.89</v>
      </c>
      <c r="R3" s="26">
        <v>4</v>
      </c>
      <c r="S3" s="26">
        <f t="shared" si="9"/>
        <v>5.6999999999999993</v>
      </c>
      <c r="T3" s="26">
        <f ca="1">IFERROR(__xludf.DUMMYFUNCTION("GOOGLEFINANCE(A3,""high52"")"),53.04)</f>
        <v>53.04</v>
      </c>
      <c r="U3" s="26">
        <f ca="1">IFERROR(__xludf.DUMMYFUNCTION("googlefinance(A3,""low52"")"),40.11)</f>
        <v>40.11</v>
      </c>
      <c r="V3" s="26">
        <f ca="1">IFERROR(__xludf.DUMMYFUNCTION("GOOGLEFINANCE(A3,""Marketcap"")"),2042060197)</f>
        <v>2042060197</v>
      </c>
      <c r="W3" s="26">
        <f ca="1">IFERROR(__xludf.DUMMYFUNCTION("googlefinance(A3,""change"")"),0.12)</f>
        <v>0.12</v>
      </c>
      <c r="X3" s="31">
        <f ca="1">IFERROR(__xludf.DUMMYFUNCTION("googlefinance(A3,""changepct"")/100"),0.0023)</f>
        <v>2.3E-3</v>
      </c>
      <c r="Y3" s="26">
        <f ca="1">IFERROR(__xludf.DUMMYFUNCTION("GOOGLEFINANCE(A3,""beta"")"),0.36)</f>
        <v>0.36</v>
      </c>
      <c r="Z3" s="34" t="str">
        <f ca="1">IFERROR(__xludf.DUMMYFUNCTION("SUBSTITUTE(index(IMPORTHTML(""http://finviz.com/quote.ashx?t=""&amp;A3,""table"", 11),11,6),""*"","""")"),"Oct 31 AMC")</f>
        <v>Oct 31 AMC</v>
      </c>
      <c r="AA3" s="35" t="str">
        <f ca="1">IFERROR(__xludf.DUMMYFUNCTION("SUBSTITUTE(index(IMPORTHTML(""http://finviz.com/quote.ashx?t=""&amp;A3,""table"", 11),1,12),""*"","""")"),"-1.56%")</f>
        <v>-1.56%</v>
      </c>
      <c r="AB3" s="35" t="str">
        <f ca="1">IFERROR(__xludf.DUMMYFUNCTION("SUBSTITUTE(index(IMPORTHTML(""http://finviz.com/quote.ashx?t=""&amp;A3,""table"", 11),2,12),""*"","""")"),"0.08%")</f>
        <v>0.08%</v>
      </c>
      <c r="AC3" s="35" t="str">
        <f ca="1">IFERROR(__xludf.DUMMYFUNCTION("SUBSTITUTE(index(IMPORTHTML(""http://finviz.com/quote.ashx?t=""&amp;A3,""table"", 11),3,12),""*"","""")"),"11.22%")</f>
        <v>11.22%</v>
      </c>
      <c r="AD3" s="35" t="str">
        <f ca="1">IFERROR(__xludf.DUMMYFUNCTION("SUBSTITUTE(index(IMPORTHTML(""http://finviz.com/quote.ashx?t=""&amp;A3,""table"", 11),6,12),""*"","""")"),"22.98%")</f>
        <v>22.98%</v>
      </c>
      <c r="AE3" s="35" t="str">
        <f ca="1">IFERROR(__xludf.DUMMYFUNCTION("SUBSTITUTE(index(IMPORTHTML(""http://finviz.com/quote.ashx?t=""&amp;A3,""table"", 11),5,12),""*"","""")"),"19.49%")</f>
        <v>19.49%</v>
      </c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t="15">
      <c r="A4" s="11" t="s">
        <v>33</v>
      </c>
      <c r="B4" s="12" t="str">
        <f ca="1">IFERROR(__xludf.DUMMYFUNCTION("GOOGLEFINANCE(A4,""name"")"),"AT&amp;T Inc.")</f>
        <v>AT&amp;T Inc.</v>
      </c>
      <c r="C4" s="13">
        <f ca="1">IFERROR(__xludf.DUMMYFUNCTION("googlefinance(A4,""price"")"),38.3)</f>
        <v>38.299999999999997</v>
      </c>
      <c r="D4" s="14">
        <v>8</v>
      </c>
      <c r="E4" s="13">
        <v>38.01</v>
      </c>
      <c r="F4" s="13">
        <f t="shared" si="0"/>
        <v>304.08</v>
      </c>
      <c r="G4" s="13">
        <f t="shared" ca="1" si="1"/>
        <v>306.39999999999998</v>
      </c>
      <c r="H4" s="15">
        <f t="shared" ca="1" si="2"/>
        <v>2.3199999999999932</v>
      </c>
      <c r="I4" s="16">
        <f t="shared" ca="1" si="3"/>
        <v>7.6295711654827455E-3</v>
      </c>
      <c r="J4" s="13" t="str">
        <f ca="1">IFERROR(__xludf.DUMMYFUNCTION("SUBSTITUTE(index(IMPORTHTML(""http://finviz.com/quote.ashx?t=""&amp;A4,""table"", 11),7,2),""*"","""")"),"2.04")</f>
        <v>2.04</v>
      </c>
      <c r="K4" s="17">
        <f t="shared" ca="1" si="4"/>
        <v>16.32</v>
      </c>
      <c r="L4" s="18">
        <f t="shared" ca="1" si="5"/>
        <v>5.3670086819258091E-2</v>
      </c>
      <c r="M4" s="18">
        <f t="shared" ca="1" si="6"/>
        <v>5.3263707571801572E-2</v>
      </c>
      <c r="N4" s="18">
        <f t="shared" ca="1" si="7"/>
        <v>7.0297318194019673E-2</v>
      </c>
      <c r="O4" s="19">
        <f t="shared" ca="1" si="8"/>
        <v>4.0637924745651893E-4</v>
      </c>
      <c r="P4" s="20">
        <f ca="1">IFERROR(__xludf.DUMMYFUNCTION("googlefinance(A4,""pe"")"),17.17)</f>
        <v>17.170000000000002</v>
      </c>
      <c r="Q4" s="14">
        <f ca="1">IFERROR(__xludf.DUMMYFUNCTION("googlefinance(A4,""eps"")"),2.23)</f>
        <v>2.23</v>
      </c>
      <c r="R4" s="13">
        <v>4</v>
      </c>
      <c r="S4" s="13">
        <f t="shared" ca="1" si="9"/>
        <v>4.08</v>
      </c>
      <c r="T4" s="13">
        <f ca="1">IFERROR(__xludf.DUMMYFUNCTION("GOOGLEFINANCE(A4,""high52"")"),38.87)</f>
        <v>38.869999999999997</v>
      </c>
      <c r="U4" s="13">
        <f ca="1">IFERROR(__xludf.DUMMYFUNCTION("googlefinance(A4,""low52"")"),26.8)</f>
        <v>26.8</v>
      </c>
      <c r="V4" s="13">
        <f ca="1">IFERROR(__xludf.DUMMYFUNCTION("GOOGLEFINANCE(A4,""Marketcap"")"),279924003372)</f>
        <v>279924003372</v>
      </c>
      <c r="W4" s="13">
        <f ca="1">IFERROR(__xludf.DUMMYFUNCTION("googlefinance(A4,""change"")"),0.24)</f>
        <v>0.24</v>
      </c>
      <c r="X4" s="18">
        <f ca="1">IFERROR(__xludf.DUMMYFUNCTION("googlefinance(A4,""changepct"")/100"),0.0063)</f>
        <v>6.3E-3</v>
      </c>
      <c r="Y4" s="13">
        <f ca="1">IFERROR(__xludf.DUMMYFUNCTION("GOOGLEFINANCE(A4,""beta"")"),0.63)</f>
        <v>0.63</v>
      </c>
      <c r="Z4" s="21" t="str">
        <f ca="1">IFERROR(__xludf.DUMMYFUNCTION("SUBSTITUTE(index(IMPORTHTML(""http://finviz.com/quote.ashx?t=""&amp;A4,""table"", 11),11,6),""*"","""")"),"Oct 28 BMO")</f>
        <v>Oct 28 BMO</v>
      </c>
      <c r="AA4" s="22" t="str">
        <f ca="1">IFERROR(__xludf.DUMMYFUNCTION("SUBSTITUTE(index(IMPORTHTML(""http://finviz.com/quote.ashx?t=""&amp;A4,""table"", 11),1,12),""*"","""")"),"-0.29%")</f>
        <v>-0.29%</v>
      </c>
      <c r="AB4" s="22" t="str">
        <f ca="1">IFERROR(__xludf.DUMMYFUNCTION("SUBSTITUTE(index(IMPORTHTML(""http://finviz.com/quote.ashx?t=""&amp;A4,""table"", 11),2,12),""*"","""")"),"0.58%")</f>
        <v>0.58%</v>
      </c>
      <c r="AC4" s="22" t="str">
        <f ca="1">IFERROR(__xludf.DUMMYFUNCTION("SUBSTITUTE(index(IMPORTHTML(""http://finviz.com/quote.ashx?t=""&amp;A4,""table"", 11),3,12),""*"","""")"),"11.78%")</f>
        <v>11.78%</v>
      </c>
      <c r="AD4" s="22" t="str">
        <f ca="1">IFERROR(__xludf.DUMMYFUNCTION("SUBSTITUTE(index(IMPORTHTML(""http://finviz.com/quote.ashx?t=""&amp;A4,""table"", 11),6,12),""*"","""")"),"33.36%")</f>
        <v>33.36%</v>
      </c>
      <c r="AE4" s="22" t="str">
        <f ca="1">IFERROR(__xludf.DUMMYFUNCTION("SUBSTITUTE(index(IMPORTHTML(""http://finviz.com/quote.ashx?t=""&amp;A4,""table"", 11),5,12),""*"","""")"),"30.84%")</f>
        <v>30.84%</v>
      </c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5">
      <c r="A5" s="24" t="s">
        <v>34</v>
      </c>
      <c r="B5" s="37" t="str">
        <f ca="1">IFERROR(__xludf.DUMMYFUNCTION("GOOGLEFINANCE(A5,""name"")"),"Altria Group Inc")</f>
        <v>Altria Group Inc</v>
      </c>
      <c r="C5" s="26">
        <f ca="1">IFERROR(__xludf.DUMMYFUNCTION("googlefinance(A5,""price"")"),46.02)</f>
        <v>46.02</v>
      </c>
      <c r="D5" s="27">
        <v>4</v>
      </c>
      <c r="E5" s="26">
        <v>40.99</v>
      </c>
      <c r="F5" s="26">
        <f t="shared" si="0"/>
        <v>163.96</v>
      </c>
      <c r="G5" s="26">
        <f t="shared" ca="1" si="1"/>
        <v>184.08</v>
      </c>
      <c r="H5" s="28">
        <f t="shared" ca="1" si="2"/>
        <v>20.120000000000005</v>
      </c>
      <c r="I5" s="29">
        <f t="shared" ca="1" si="3"/>
        <v>0.1227128567943401</v>
      </c>
      <c r="J5" s="26" t="str">
        <f ca="1">IFERROR(__xludf.DUMMYFUNCTION("SUBSTITUTE(index(IMPORTHTML(""http://finviz.com/quote.ashx?t=""&amp;A5,""table"", 11),7,2),""*"","""")"),"3.36")</f>
        <v>3.36</v>
      </c>
      <c r="K5" s="30">
        <f t="shared" ca="1" si="4"/>
        <v>13.44</v>
      </c>
      <c r="L5" s="31">
        <f t="shared" ca="1" si="5"/>
        <v>8.1971212490851417E-2</v>
      </c>
      <c r="M5" s="31">
        <f t="shared" ca="1" si="6"/>
        <v>7.3011734028683176E-2</v>
      </c>
      <c r="N5" s="31">
        <f t="shared" ca="1" si="7"/>
        <v>4.2233454089931927E-2</v>
      </c>
      <c r="O5" s="32">
        <f t="shared" ca="1" si="8"/>
        <v>8.9594784621682411E-3</v>
      </c>
      <c r="P5" s="33">
        <f ca="1">IFERROR(__xludf.DUMMYFUNCTION("googlefinance(A5,""pe"")"),12.16)</f>
        <v>12.16</v>
      </c>
      <c r="Q5" s="27">
        <f ca="1">IFERROR(__xludf.DUMMYFUNCTION("googlefinance(A5,""eps"")"),3.78)</f>
        <v>3.78</v>
      </c>
      <c r="R5" s="26">
        <v>4</v>
      </c>
      <c r="S5" s="26">
        <f t="shared" ca="1" si="9"/>
        <v>3.36</v>
      </c>
      <c r="T5" s="26">
        <f ca="1">IFERROR(__xludf.DUMMYFUNCTION("GOOGLEFINANCE(A5,""high52"")"),66.04)</f>
        <v>66.040000000000006</v>
      </c>
      <c r="U5" s="26">
        <f ca="1">IFERROR(__xludf.DUMMYFUNCTION("googlefinance(A5,""low52"")"),39.3)</f>
        <v>39.299999999999997</v>
      </c>
      <c r="V5" s="26">
        <f ca="1">IFERROR(__xludf.DUMMYFUNCTION("GOOGLEFINANCE(A5,""Marketcap"")"),85969778775)</f>
        <v>85969778775</v>
      </c>
      <c r="W5" s="26">
        <f ca="1">IFERROR(__xludf.DUMMYFUNCTION("googlefinance(A5,""change"")"),-0.36)</f>
        <v>-0.36</v>
      </c>
      <c r="X5" s="31">
        <f ca="1">IFERROR(__xludf.DUMMYFUNCTION("googlefinance(A5,""changepct"")/100"),-0.0078)</f>
        <v>-7.7999999999999996E-3</v>
      </c>
      <c r="Y5" s="26">
        <f ca="1">IFERROR(__xludf.DUMMYFUNCTION("GOOGLEFINANCE(A5,""beta"")"),0.4)</f>
        <v>0.4</v>
      </c>
      <c r="Z5" s="34" t="str">
        <f ca="1">IFERROR(__xludf.DUMMYFUNCTION("SUBSTITUTE(index(IMPORTHTML(""http://finviz.com/quote.ashx?t=""&amp;A5,""table"", 11),11,6),""*"","""")"),"Oct 31 BMO")</f>
        <v>Oct 31 BMO</v>
      </c>
      <c r="AA5" s="35" t="str">
        <f ca="1">IFERROR(__xludf.DUMMYFUNCTION("SUBSTITUTE(index(IMPORTHTML(""http://finviz.com/quote.ashx?t=""&amp;A5,""table"", 11),1,12),""*"","""")"),"0.09%")</f>
        <v>0.09%</v>
      </c>
      <c r="AB5" s="35" t="str">
        <f ca="1">IFERROR(__xludf.DUMMYFUNCTION("SUBSTITUTE(index(IMPORTHTML(""http://finviz.com/quote.ashx?t=""&amp;A5,""table"", 11),2,12),""*"","""")"),"13.40%")</f>
        <v>13.40%</v>
      </c>
      <c r="AC5" s="35" t="str">
        <f ca="1">IFERROR(__xludf.DUMMYFUNCTION("SUBSTITUTE(index(IMPORTHTML(""http://finviz.com/quote.ashx?t=""&amp;A5,""table"", 11),3,12),""*"","""")"),"-1.47%")</f>
        <v>-1.47%</v>
      </c>
      <c r="AD5" s="35" t="str">
        <f ca="1">IFERROR(__xludf.DUMMYFUNCTION("SUBSTITUTE(index(IMPORTHTML(""http://finviz.com/quote.ashx?t=""&amp;A5,""table"", 11),6,12),""*"","""")"),"-6.09%")</f>
        <v>-6.09%</v>
      </c>
      <c r="AE5" s="35" t="str">
        <f ca="1">IFERROR(__xludf.DUMMYFUNCTION("SUBSTITUTE(index(IMPORTHTML(""http://finviz.com/quote.ashx?t=""&amp;A5,""table"", 11),5,12),""*"","""")"),"-26.49%")</f>
        <v>-26.49%</v>
      </c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</row>
    <row r="6" spans="1:44" ht="15">
      <c r="A6" s="11" t="s">
        <v>35</v>
      </c>
      <c r="B6" s="12" t="str">
        <f ca="1">IFERROR(__xludf.DUMMYFUNCTION("GOOGLEFINANCE(A6,""name"")"),"Ford Motor Company")</f>
        <v>Ford Motor Company</v>
      </c>
      <c r="C6" s="13">
        <f ca="1">IFERROR(__xludf.DUMMYFUNCTION("googlefinance(A6,""price"")"),8.54)</f>
        <v>8.5399999999999991</v>
      </c>
      <c r="D6" s="14">
        <v>15</v>
      </c>
      <c r="E6" s="13">
        <v>8.69</v>
      </c>
      <c r="F6" s="13">
        <f t="shared" si="0"/>
        <v>130.35</v>
      </c>
      <c r="G6" s="13">
        <f t="shared" ca="1" si="1"/>
        <v>128.1</v>
      </c>
      <c r="H6" s="15">
        <f t="shared" ca="1" si="2"/>
        <v>-2.25</v>
      </c>
      <c r="I6" s="16">
        <f t="shared" ca="1" si="3"/>
        <v>-1.7261219792865365E-2</v>
      </c>
      <c r="J6" s="13" t="str">
        <f ca="1">IFERROR(__xludf.DUMMYFUNCTION("SUBSTITUTE(index(IMPORTHTML(""http://finviz.com/quote.ashx?t=""&amp;A6,""table"", 11),7,2),""*"","""")"),"0.60")</f>
        <v>0.60</v>
      </c>
      <c r="K6" s="17">
        <f t="shared" ca="1" si="4"/>
        <v>9</v>
      </c>
      <c r="L6" s="18">
        <f t="shared" ca="1" si="5"/>
        <v>6.904487917146146E-2</v>
      </c>
      <c r="M6" s="18">
        <f t="shared" ca="1" si="6"/>
        <v>7.0257611241217807E-2</v>
      </c>
      <c r="N6" s="18">
        <f t="shared" ca="1" si="7"/>
        <v>2.9389968866363969E-2</v>
      </c>
      <c r="O6" s="19">
        <f t="shared" ca="1" si="8"/>
        <v>-1.2127320697563476E-3</v>
      </c>
      <c r="P6" s="20">
        <f ca="1">IFERROR(__xludf.DUMMYFUNCTION("googlefinance(A6,""pe"")"),21.31)</f>
        <v>21.31</v>
      </c>
      <c r="Q6" s="14">
        <f ca="1">IFERROR(__xludf.DUMMYFUNCTION("googlefinance(A6,""eps"")"),0.4)</f>
        <v>0.4</v>
      </c>
      <c r="R6" s="13">
        <v>4</v>
      </c>
      <c r="S6" s="13">
        <f t="shared" ca="1" si="9"/>
        <v>2.25</v>
      </c>
      <c r="T6" s="13">
        <f ca="1">IFERROR(__xludf.DUMMYFUNCTION("GOOGLEFINANCE(A6,""high52"")"),10.56)</f>
        <v>10.56</v>
      </c>
      <c r="U6" s="13">
        <f ca="1">IFERROR(__xludf.DUMMYFUNCTION("googlefinance(A6,""low52"")"),7.41)</f>
        <v>7.41</v>
      </c>
      <c r="V6" s="13">
        <f ca="1">IFERROR(__xludf.DUMMYFUNCTION("GOOGLEFINANCE(A6,""Marketcap"")"),33950969191)</f>
        <v>33950969191</v>
      </c>
      <c r="W6" s="13">
        <f ca="1">IFERROR(__xludf.DUMMYFUNCTION("googlefinance(A6,""change"")"),-0.1)</f>
        <v>-0.1</v>
      </c>
      <c r="X6" s="18">
        <f ca="1">IFERROR(__xludf.DUMMYFUNCTION("googlefinance(A6,""changepct"")/100"),-0.011)</f>
        <v>-1.0999999999999999E-2</v>
      </c>
      <c r="Y6" s="13">
        <f ca="1">IFERROR(__xludf.DUMMYFUNCTION("GOOGLEFINANCE(A6,""beta"")"),1.1)</f>
        <v>1.1000000000000001</v>
      </c>
      <c r="Z6" s="21" t="str">
        <f ca="1">IFERROR(__xludf.DUMMYFUNCTION("SUBSTITUTE(index(IMPORTHTML(""http://finviz.com/quote.ashx?t=""&amp;A6,""table"", 11),11,6),""*"","""")"),"Oct 23 AMC")</f>
        <v>Oct 23 AMC</v>
      </c>
      <c r="AA6" s="22" t="str">
        <f ca="1">IFERROR(__xludf.DUMMYFUNCTION("SUBSTITUTE(index(IMPORTHTML(""http://finviz.com/quote.ashx?t=""&amp;A6,""table"", 11),1,12),""*"","""")"),"-4.74%")</f>
        <v>-4.74%</v>
      </c>
      <c r="AB6" s="22" t="str">
        <f ca="1">IFERROR(__xludf.DUMMYFUNCTION("SUBSTITUTE(index(IMPORTHTML(""http://finviz.com/quote.ashx?t=""&amp;A6,""table"", 11),2,12),""*"","""")"),"-5.68%")</f>
        <v>-5.68%</v>
      </c>
      <c r="AC6" s="22" t="str">
        <f ca="1">IFERROR(__xludf.DUMMYFUNCTION("SUBSTITUTE(index(IMPORTHTML(""http://finviz.com/quote.ashx?t=""&amp;A6,""table"", 11),3,12),""*"","""")"),"-9.34%")</f>
        <v>-9.34%</v>
      </c>
      <c r="AD6" s="22" t="str">
        <f ca="1">IFERROR(__xludf.DUMMYFUNCTION("SUBSTITUTE(index(IMPORTHTML(""http://finviz.com/quote.ashx?t=""&amp;A6,""table"", 11),6,12),""*"","""")"),"12.94%")</f>
        <v>12.94%</v>
      </c>
      <c r="AE6" s="22" t="str">
        <f ca="1">IFERROR(__xludf.DUMMYFUNCTION("SUBSTITUTE(index(IMPORTHTML(""http://finviz.com/quote.ashx?t=""&amp;A6,""table"", 11),5,12),""*"","""")"),"-3.79%")</f>
        <v>-3.79%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ht="15">
      <c r="A7" s="39" t="s">
        <v>36</v>
      </c>
      <c r="B7" s="37" t="str">
        <f ca="1">IFERROR(__xludf.DUMMYFUNCTION("GOOGLEFINANCE(A7,""name"")"),"Bank of America Corp")</f>
        <v>Bank of America Corp</v>
      </c>
      <c r="C7" s="26">
        <f ca="1">IFERROR(__xludf.DUMMYFUNCTION("googlefinance(A7,""price"")"),31.63)</f>
        <v>31.63</v>
      </c>
      <c r="D7" s="27">
        <v>10</v>
      </c>
      <c r="E7" s="26">
        <v>31.96</v>
      </c>
      <c r="F7" s="26">
        <f t="shared" si="0"/>
        <v>319.60000000000002</v>
      </c>
      <c r="G7" s="26">
        <f t="shared" ca="1" si="1"/>
        <v>316.3</v>
      </c>
      <c r="H7" s="28">
        <f t="shared" ca="1" si="2"/>
        <v>-3.3000000000000114</v>
      </c>
      <c r="I7" s="29">
        <f t="shared" ca="1" si="3"/>
        <v>-1.0325406758448095E-2</v>
      </c>
      <c r="J7" s="26" t="str">
        <f ca="1">IFERROR(__xludf.DUMMYFUNCTION("SUBSTITUTE(index(IMPORTHTML(""http://finviz.com/quote.ashx?t=""&amp;A7,""table"", 11),7,2),""*"","""")"),"0.72")</f>
        <v>0.72</v>
      </c>
      <c r="K7" s="30">
        <f t="shared" ca="1" si="4"/>
        <v>7.1999999999999993</v>
      </c>
      <c r="L7" s="31">
        <f t="shared" ca="1" si="5"/>
        <v>2.2528160200250308E-2</v>
      </c>
      <c r="M7" s="31">
        <f t="shared" ca="1" si="6"/>
        <v>2.2763199494151121E-2</v>
      </c>
      <c r="N7" s="31">
        <f t="shared" ca="1" si="7"/>
        <v>7.2568674101724628E-2</v>
      </c>
      <c r="O7" s="32">
        <f t="shared" ca="1" si="8"/>
        <v>-2.350392939008128E-4</v>
      </c>
      <c r="P7" s="33">
        <f ca="1">IFERROR(__xludf.DUMMYFUNCTION("googlefinance(A7,""pe"")"),11.66)</f>
        <v>11.66</v>
      </c>
      <c r="Q7" s="27">
        <f ca="1">IFERROR(__xludf.DUMMYFUNCTION("googlefinance(A7,""eps"")"),2.71)</f>
        <v>2.71</v>
      </c>
      <c r="R7" s="26">
        <v>4</v>
      </c>
      <c r="S7" s="26">
        <f t="shared" ca="1" si="9"/>
        <v>1.7999999999999998</v>
      </c>
      <c r="T7" s="26">
        <f ca="1">IFERROR(__xludf.DUMMYFUNCTION("GOOGLEFINANCE(A7,""high52"")"),32.23)</f>
        <v>32.229999999999997</v>
      </c>
      <c r="U7" s="26">
        <f ca="1">IFERROR(__xludf.DUMMYFUNCTION("googlefinance(A7,""low52"")"),22.66)</f>
        <v>22.66</v>
      </c>
      <c r="V7" s="26">
        <f ca="1">IFERROR(__xludf.DUMMYFUNCTION("GOOGLEFINANCE(A7,""Marketcap"")"),284515226861)</f>
        <v>284515226861</v>
      </c>
      <c r="W7" s="26">
        <f ca="1">IFERROR(__xludf.DUMMYFUNCTION("googlefinance(A7,""change"")"),-0.43)</f>
        <v>-0.43</v>
      </c>
      <c r="X7" s="31">
        <f ca="1">IFERROR(__xludf.DUMMYFUNCTION("googlefinance(A7,""changepct"")/100"),-0.0134)</f>
        <v>-1.34E-2</v>
      </c>
      <c r="Y7" s="26">
        <f ca="1">IFERROR(__xludf.DUMMYFUNCTION("GOOGLEFINANCE(A7,""beta"")"),1.6)</f>
        <v>1.6</v>
      </c>
      <c r="Z7" s="34" t="str">
        <f ca="1">IFERROR(__xludf.DUMMYFUNCTION("SUBSTITUTE(index(IMPORTHTML(""http://finviz.com/quote.ashx?t=""&amp;A7,""table"", 11),11,6),""*"","""")"),"Oct 16 BMO")</f>
        <v>Oct 16 BMO</v>
      </c>
      <c r="AA7" s="35" t="str">
        <f ca="1">IFERROR(__xludf.DUMMYFUNCTION("SUBSTITUTE(index(IMPORTHTML(""http://finviz.com/quote.ashx?t=""&amp;A7,""table"", 11),1,12),""*"","""")"),"2.79%")</f>
        <v>2.79%</v>
      </c>
      <c r="AB7" s="35" t="str">
        <f ca="1">IFERROR(__xludf.DUMMYFUNCTION("SUBSTITUTE(index(IMPORTHTML(""http://finviz.com/quote.ashx?t=""&amp;A7,""table"", 11),2,12),""*"","""")"),"9.94%")</f>
        <v>9.94%</v>
      </c>
      <c r="AC7" s="35" t="str">
        <f ca="1">IFERROR(__xludf.DUMMYFUNCTION("SUBSTITUTE(index(IMPORTHTML(""http://finviz.com/quote.ashx?t=""&amp;A7,""table"", 11),3,12),""*"","""")"),"4.53%")</f>
        <v>4.53%</v>
      </c>
      <c r="AD7" s="35" t="str">
        <f ca="1">IFERROR(__xludf.DUMMYFUNCTION("SUBSTITUTE(index(IMPORTHTML(""http://finviz.com/quote.ashx?t=""&amp;A7,""table"", 11),6,12),""*"","""")"),"30.15%")</f>
        <v>30.15%</v>
      </c>
      <c r="AE7" s="35" t="str">
        <f ca="1">IFERROR(__xludf.DUMMYFUNCTION("SUBSTITUTE(index(IMPORTHTML(""http://finviz.com/quote.ashx?t=""&amp;A7,""table"", 11),5,12),""*"","""")"),"21.52%")</f>
        <v>21.52%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15">
      <c r="A8" s="12" t="s">
        <v>37</v>
      </c>
      <c r="B8" s="12" t="str">
        <f ca="1">IFERROR(__xludf.DUMMYFUNCTION("GOOGLEFINANCE(A8,""name"")"),"Apple Inc.")</f>
        <v>Apple Inc.</v>
      </c>
      <c r="C8" s="13">
        <f ca="1">IFERROR(__xludf.DUMMYFUNCTION("googlefinance(A8,""price"")"),241.93)</f>
        <v>241.93</v>
      </c>
      <c r="D8" s="14">
        <v>2</v>
      </c>
      <c r="E8" s="13">
        <v>242.62</v>
      </c>
      <c r="F8" s="13">
        <f t="shared" si="0"/>
        <v>485.24</v>
      </c>
      <c r="G8" s="13">
        <f t="shared" ca="1" si="1"/>
        <v>483.86</v>
      </c>
      <c r="H8" s="15">
        <f t="shared" ca="1" si="2"/>
        <v>-1.3799999999999955</v>
      </c>
      <c r="I8" s="16">
        <f t="shared" ca="1" si="3"/>
        <v>-2.84395350754265E-3</v>
      </c>
      <c r="J8" s="13" t="str">
        <f ca="1">IFERROR(__xludf.DUMMYFUNCTION("SUBSTITUTE(index(IMPORTHTML(""http://finviz.com/quote.ashx?t=""&amp;A8,""table"", 11),7,2),""*"","""")"),"3.08")</f>
        <v>3.08</v>
      </c>
      <c r="K8" s="17">
        <f t="shared" ca="1" si="4"/>
        <v>6.16</v>
      </c>
      <c r="L8" s="18">
        <f t="shared" ca="1" si="5"/>
        <v>1.2694748990190421E-2</v>
      </c>
      <c r="M8" s="18">
        <f t="shared" ca="1" si="6"/>
        <v>1.2730955234985327E-2</v>
      </c>
      <c r="N8" s="18">
        <f t="shared" ca="1" si="7"/>
        <v>0.11101194641435497</v>
      </c>
      <c r="O8" s="19">
        <f t="shared" ca="1" si="8"/>
        <v>-3.6206244794905265E-5</v>
      </c>
      <c r="P8" s="20">
        <f ca="1">IFERROR(__xludf.DUMMYFUNCTION("googlefinance(A8,""pe"")"),19.82)</f>
        <v>19.82</v>
      </c>
      <c r="Q8" s="14">
        <f ca="1">IFERROR(__xludf.DUMMYFUNCTION("googlefinance(A8,""eps"")"),12.21)</f>
        <v>12.21</v>
      </c>
      <c r="R8" s="13">
        <v>4</v>
      </c>
      <c r="S8" s="13">
        <f t="shared" ca="1" si="9"/>
        <v>1.54</v>
      </c>
      <c r="T8" s="13">
        <f ca="1">IFERROR(__xludf.DUMMYFUNCTION("GOOGLEFINANCE(A8,""high52"")"),249.75)</f>
        <v>249.75</v>
      </c>
      <c r="U8" s="13">
        <f ca="1">IFERROR(__xludf.DUMMYFUNCTION("googlefinance(A8,""low52"")"),142)</f>
        <v>142</v>
      </c>
      <c r="V8" s="13">
        <f ca="1">IFERROR(__xludf.DUMMYFUNCTION("GOOGLEFINANCE(A8,""Marketcap"")"),1095268467558)</f>
        <v>1095268467558</v>
      </c>
      <c r="W8" s="13">
        <f ca="1">IFERROR(__xludf.DUMMYFUNCTION("googlefinance(A8,""change"")"),-1.34)</f>
        <v>-1.34</v>
      </c>
      <c r="X8" s="18">
        <f ca="1">IFERROR(__xludf.DUMMYFUNCTION("googlefinance(A8,""changepct"")/100"),-0.0055)</f>
        <v>-5.4999999999999997E-3</v>
      </c>
      <c r="Y8" s="13">
        <f ca="1">IFERROR(__xludf.DUMMYFUNCTION("GOOGLEFINANCE(A8,""beta"")"),1.24)</f>
        <v>1.24</v>
      </c>
      <c r="Z8" s="21" t="str">
        <f ca="1">IFERROR(__xludf.DUMMYFUNCTION("SUBSTITUTE(index(IMPORTHTML(""http://finviz.com/quote.ashx?t=""&amp;A8,""table"", 11),11,6),""*"","""")"),"Oct 30 AMC")</f>
        <v>Oct 30 AMC</v>
      </c>
      <c r="AA8" s="22" t="str">
        <f ca="1">IFERROR(__xludf.DUMMYFUNCTION("SUBSTITUTE(index(IMPORTHTML(""http://finviz.com/quote.ashx?t=""&amp;A8,""table"", 11),1,12),""*"","""")"),"1.39%")</f>
        <v>1.39%</v>
      </c>
      <c r="AB8" s="22" t="str">
        <f ca="1">IFERROR(__xludf.DUMMYFUNCTION("SUBSTITUTE(index(IMPORTHTML(""http://finviz.com/quote.ashx?t=""&amp;A8,""table"", 11),2,12),""*"","""")"),"8.63%")</f>
        <v>8.63%</v>
      </c>
      <c r="AC8" s="22" t="str">
        <f ca="1">IFERROR(__xludf.DUMMYFUNCTION("SUBSTITUTE(index(IMPORTHTML(""http://finviz.com/quote.ashx?t=""&amp;A8,""table"", 11),3,12),""*"","""")"),"14.20%")</f>
        <v>14.20%</v>
      </c>
      <c r="AD8" s="22" t="str">
        <f ca="1">IFERROR(__xludf.DUMMYFUNCTION("SUBSTITUTE(index(IMPORTHTML(""http://finviz.com/quote.ashx?t=""&amp;A8,""table"", 11),6,12),""*"","""")"),"54.23%")</f>
        <v>54.23%</v>
      </c>
      <c r="AE8" s="22" t="str">
        <f ca="1">IFERROR(__xludf.DUMMYFUNCTION("SUBSTITUTE(index(IMPORTHTML(""http://finviz.com/quote.ashx?t=""&amp;A8,""table"", 11),5,12),""*"","""")"),"12.48%")</f>
        <v>12.48%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ht="15">
      <c r="A9" s="41" t="s">
        <v>38</v>
      </c>
      <c r="B9" s="37" t="str">
        <f ca="1">IFERROR(__xludf.DUMMYFUNCTION("GOOGLEFINANCE(A9,""name"")"),"Microsoft Corporation")</f>
        <v>Microsoft Corporation</v>
      </c>
      <c r="C9" s="26">
        <f ca="1">IFERROR(__xludf.DUMMYFUNCTION("googlefinance(A9,""price"")"),143.72)</f>
        <v>143.72</v>
      </c>
      <c r="D9" s="27">
        <v>3</v>
      </c>
      <c r="E9" s="26">
        <v>143.63</v>
      </c>
      <c r="F9" s="26">
        <f t="shared" si="0"/>
        <v>430.89</v>
      </c>
      <c r="G9" s="26">
        <f t="shared" ca="1" si="1"/>
        <v>431.15999999999997</v>
      </c>
      <c r="H9" s="28">
        <f t="shared" ca="1" si="2"/>
        <v>0.26999999999998181</v>
      </c>
      <c r="I9" s="29">
        <f t="shared" ca="1" si="3"/>
        <v>6.2661003968526028E-4</v>
      </c>
      <c r="J9" s="26" t="str">
        <f ca="1">IFERROR(__xludf.DUMMYFUNCTION("SUBSTITUTE(index(IMPORTHTML(""http://finviz.com/quote.ashx?t=""&amp;A9,""table"", 11),7,2),""*"","""")"),"2.04")</f>
        <v>2.04</v>
      </c>
      <c r="K9" s="30">
        <f t="shared" ca="1" si="4"/>
        <v>6.12</v>
      </c>
      <c r="L9" s="31">
        <f t="shared" ca="1" si="5"/>
        <v>1.4203160899533525E-2</v>
      </c>
      <c r="M9" s="31">
        <f t="shared" ca="1" si="6"/>
        <v>1.4194266629557473E-2</v>
      </c>
      <c r="N9" s="31">
        <f t="shared" ca="1" si="7"/>
        <v>9.8920991228895305E-2</v>
      </c>
      <c r="O9" s="32">
        <f t="shared" ca="1" si="8"/>
        <v>8.8942699760525407E-6</v>
      </c>
      <c r="P9" s="33">
        <f ca="1">IFERROR(__xludf.DUMMYFUNCTION("googlefinance(A9,""pe"")"),27.06)</f>
        <v>27.06</v>
      </c>
      <c r="Q9" s="27">
        <f ca="1">IFERROR(__xludf.DUMMYFUNCTION("googlefinance(A9,""eps"")"),5.31)</f>
        <v>5.31</v>
      </c>
      <c r="R9" s="26">
        <v>4</v>
      </c>
      <c r="S9" s="26">
        <f t="shared" ca="1" si="9"/>
        <v>1.53</v>
      </c>
      <c r="T9" s="26">
        <f ca="1">IFERROR(__xludf.DUMMYFUNCTION("GOOGLEFINANCE(A9,""high52"")"),145.67)</f>
        <v>145.66999999999999</v>
      </c>
      <c r="U9" s="26">
        <f ca="1">IFERROR(__xludf.DUMMYFUNCTION("googlefinance(A9,""low52"")"),93.96)</f>
        <v>93.96</v>
      </c>
      <c r="V9" s="26">
        <f ca="1">IFERROR(__xludf.DUMMYFUNCTION("GOOGLEFINANCE(A9,""Marketcap"")"),1096412007632)</f>
        <v>1096412007632</v>
      </c>
      <c r="W9" s="26">
        <f ca="1">IFERROR(__xludf.DUMMYFUNCTION("googlefinance(A9,""change"")"),0.88)</f>
        <v>0.88</v>
      </c>
      <c r="X9" s="31">
        <f ca="1">IFERROR(__xludf.DUMMYFUNCTION("googlefinance(A9,""changepct"")/100"),0.0062)</f>
        <v>6.1999999999999998E-3</v>
      </c>
      <c r="Y9" s="26">
        <f ca="1">IFERROR(__xludf.DUMMYFUNCTION("GOOGLEFINANCE(A9,""beta"")"),1.22)</f>
        <v>1.22</v>
      </c>
      <c r="Z9" s="34" t="str">
        <f ca="1">IFERROR(__xludf.DUMMYFUNCTION("SUBSTITUTE(index(IMPORTHTML(""http://finviz.com/quote.ashx?t=""&amp;A9,""table"", 11),11,6),""*"","""")"),"Oct 23 AMC")</f>
        <v>Oct 23 AMC</v>
      </c>
      <c r="AA9" s="35" t="str">
        <f ca="1">IFERROR(__xludf.DUMMYFUNCTION("SUBSTITUTE(index(IMPORTHTML(""http://finviz.com/quote.ashx?t=""&amp;A9,""table"", 11),1,12),""*"","""")"),"4.74%")</f>
        <v>4.74%</v>
      </c>
      <c r="AB9" s="35" t="str">
        <f ca="1">IFERROR(__xludf.DUMMYFUNCTION("SUBSTITUTE(index(IMPORTHTML(""http://finviz.com/quote.ashx?t=""&amp;A9,""table"", 11),2,12),""*"","""")"),"2.73%")</f>
        <v>2.73%</v>
      </c>
      <c r="AC9" s="35" t="str">
        <f ca="1">IFERROR(__xludf.DUMMYFUNCTION("SUBSTITUTE(index(IMPORTHTML(""http://finviz.com/quote.ashx?t=""&amp;A9,""table"", 11),3,12),""*"","""")"),"4.81%")</f>
        <v>4.81%</v>
      </c>
      <c r="AD9" s="35" t="str">
        <f ca="1">IFERROR(__xludf.DUMMYFUNCTION("SUBSTITUTE(index(IMPORTHTML(""http://finviz.com/quote.ashx?t=""&amp;A9,""table"", 11),6,12),""*"","""")"),"40.62%")</f>
        <v>40.62%</v>
      </c>
      <c r="AE9" s="35" t="str">
        <f ca="1">IFERROR(__xludf.DUMMYFUNCTION("SUBSTITUTE(index(IMPORTHTML(""http://finviz.com/quote.ashx?t=""&amp;A9,""table"", 11),5,12),""*"","""")"),"33.54%")</f>
        <v>33.54%</v>
      </c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15">
      <c r="A10" s="11" t="s">
        <v>39</v>
      </c>
      <c r="B10" s="12" t="str">
        <f ca="1">IFERROR(__xludf.DUMMYFUNCTION("GOOGLEFINANCE(A10,""name"")"),"3M Co")</f>
        <v>3M Co</v>
      </c>
      <c r="C10" s="13">
        <f ca="1">IFERROR(__xludf.DUMMYFUNCTION("googlefinance(A10,""price"")"),167.31)</f>
        <v>167.31</v>
      </c>
      <c r="D10" s="14">
        <v>1</v>
      </c>
      <c r="E10" s="13">
        <v>166.42</v>
      </c>
      <c r="F10" s="13">
        <f t="shared" si="0"/>
        <v>166.42</v>
      </c>
      <c r="G10" s="13">
        <f t="shared" ca="1" si="1"/>
        <v>167.31</v>
      </c>
      <c r="H10" s="15">
        <f t="shared" ca="1" si="2"/>
        <v>0.89000000000001478</v>
      </c>
      <c r="I10" s="16">
        <f t="shared" ca="1" si="3"/>
        <v>5.3479149140729168E-3</v>
      </c>
      <c r="J10" s="13" t="str">
        <f ca="1">IFERROR(__xludf.DUMMYFUNCTION("SUBSTITUTE(index(IMPORTHTML(""http://finviz.com/quote.ashx?t=""&amp;A10,""table"", 11),7,2),""*"","""")"),"5.76")</f>
        <v>5.76</v>
      </c>
      <c r="K10" s="17">
        <f t="shared" ca="1" si="4"/>
        <v>5.76</v>
      </c>
      <c r="L10" s="18">
        <f t="shared" ca="1" si="5"/>
        <v>3.461122461242639E-2</v>
      </c>
      <c r="M10" s="18">
        <f t="shared" ca="1" si="6"/>
        <v>3.4427111350188271E-2</v>
      </c>
      <c r="N10" s="18">
        <f t="shared" ca="1" si="7"/>
        <v>3.8385914840213552E-2</v>
      </c>
      <c r="O10" s="19">
        <f t="shared" ca="1" si="8"/>
        <v>1.8411326223811975E-4</v>
      </c>
      <c r="P10" s="20">
        <f ca="1">IFERROR(__xludf.DUMMYFUNCTION("googlefinance(A10,""pe"")"),19.86)</f>
        <v>19.86</v>
      </c>
      <c r="Q10" s="14">
        <f ca="1">IFERROR(__xludf.DUMMYFUNCTION("googlefinance(A10,""eps"")"),8.42)</f>
        <v>8.42</v>
      </c>
      <c r="R10" s="13">
        <v>4</v>
      </c>
      <c r="S10" s="13">
        <f t="shared" ca="1" si="9"/>
        <v>1.44</v>
      </c>
      <c r="T10" s="13">
        <f ca="1">IFERROR(__xludf.DUMMYFUNCTION("GOOGLEFINANCE(A10,""high52"")"),219.75)</f>
        <v>219.75</v>
      </c>
      <c r="U10" s="13">
        <f ca="1">IFERROR(__xludf.DUMMYFUNCTION("googlefinance(A10,""low52"")"),150.58)</f>
        <v>150.58000000000001</v>
      </c>
      <c r="V10" s="13">
        <f ca="1">IFERROR(__xludf.DUMMYFUNCTION("GOOGLEFINANCE(A10,""Marketcap"")"),96211781406)</f>
        <v>96211781406</v>
      </c>
      <c r="W10" s="13">
        <f ca="1">IFERROR(__xludf.DUMMYFUNCTION("googlefinance(A10,""change"")"),-1.37)</f>
        <v>-1.37</v>
      </c>
      <c r="X10" s="18">
        <f ca="1">IFERROR(__xludf.DUMMYFUNCTION("googlefinance(A10,""changepct"")/100"),-0.0081)</f>
        <v>-8.0999999999999996E-3</v>
      </c>
      <c r="Y10" s="13">
        <f ca="1">IFERROR(__xludf.DUMMYFUNCTION("GOOGLEFINANCE(A10,""beta"")"),1.11)</f>
        <v>1.1100000000000001</v>
      </c>
      <c r="Z10" s="21" t="str">
        <f ca="1">IFERROR(__xludf.DUMMYFUNCTION("SUBSTITUTE(index(IMPORTHTML(""http://finviz.com/quote.ashx?t=""&amp;A10,""table"", 11),11,6),""*"","""")"),"Oct 24 BMO")</f>
        <v>Oct 24 BMO</v>
      </c>
      <c r="AA10" s="22" t="str">
        <f ca="1">IFERROR(__xludf.DUMMYFUNCTION("SUBSTITUTE(index(IMPORTHTML(""http://finviz.com/quote.ashx?t=""&amp;A10,""table"", 11),1,12),""*"","""")"),"0.76%")</f>
        <v>0.76%</v>
      </c>
      <c r="AB10" s="22" t="str">
        <f ca="1">IFERROR(__xludf.DUMMYFUNCTION("SUBSTITUTE(index(IMPORTHTML(""http://finviz.com/quote.ashx?t=""&amp;A10,""table"", 11),2,12),""*"","""")"),"2.68%")</f>
        <v>2.68%</v>
      </c>
      <c r="AC10" s="22" t="str">
        <f ca="1">IFERROR(__xludf.DUMMYFUNCTION("SUBSTITUTE(index(IMPORTHTML(""http://finviz.com/quote.ashx?t=""&amp;A10,""table"", 11),3,12),""*"","""")"),"-3.38%")</f>
        <v>-3.38%</v>
      </c>
      <c r="AD10" s="22" t="str">
        <f ca="1">IFERROR(__xludf.DUMMYFUNCTION("SUBSTITUTE(index(IMPORTHTML(""http://finviz.com/quote.ashx?t=""&amp;A10,""table"", 11),6,12),""*"","""")"),"-11.40%")</f>
        <v>-11.40%</v>
      </c>
      <c r="AE10" s="22" t="str">
        <f ca="1">IFERROR(__xludf.DUMMYFUNCTION("SUBSTITUTE(index(IMPORTHTML(""http://finviz.com/quote.ashx?t=""&amp;A10,""table"", 11),5,12),""*"","""")"),"-8.73%")</f>
        <v>-8.73%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15">
      <c r="A11" s="24" t="s">
        <v>40</v>
      </c>
      <c r="B11" s="37" t="str">
        <f ca="1">IFERROR(__xludf.DUMMYFUNCTION("GOOGLEFINANCE(A11,""name"")"),"Realty Income Corp")</f>
        <v>Realty Income Corp</v>
      </c>
      <c r="C11" s="26">
        <f ca="1">IFERROR(__xludf.DUMMYFUNCTION("googlefinance(A11,""price"")"),81.57)</f>
        <v>81.569999999999993</v>
      </c>
      <c r="D11" s="27">
        <v>2</v>
      </c>
      <c r="E11" s="26">
        <v>74.31</v>
      </c>
      <c r="F11" s="26">
        <f t="shared" si="0"/>
        <v>148.62</v>
      </c>
      <c r="G11" s="26">
        <f t="shared" ca="1" si="1"/>
        <v>163.13999999999999</v>
      </c>
      <c r="H11" s="28">
        <f t="shared" ca="1" si="2"/>
        <v>14.519999999999982</v>
      </c>
      <c r="I11" s="29">
        <f t="shared" ca="1" si="3"/>
        <v>9.7698829228905812E-2</v>
      </c>
      <c r="J11" s="26" t="str">
        <f ca="1">IFERROR(__xludf.DUMMYFUNCTION("SUBSTITUTE(index(IMPORTHTML(""http://finviz.com/quote.ashx?t=""&amp;A11,""table"", 11),7,2),""*"","""")"),"2.72")</f>
        <v>2.72</v>
      </c>
      <c r="K11" s="30">
        <f t="shared" ca="1" si="4"/>
        <v>5.44</v>
      </c>
      <c r="L11" s="31">
        <f t="shared" ca="1" si="5"/>
        <v>3.6603418113309111E-2</v>
      </c>
      <c r="M11" s="31">
        <f t="shared" ca="1" si="6"/>
        <v>3.3345592742429819E-2</v>
      </c>
      <c r="N11" s="31">
        <f t="shared" ca="1" si="7"/>
        <v>3.742919220030147E-2</v>
      </c>
      <c r="O11" s="32">
        <f t="shared" ca="1" si="8"/>
        <v>3.2578253708792915E-3</v>
      </c>
      <c r="P11" s="33">
        <f ca="1">IFERROR(__xludf.DUMMYFUNCTION("googlefinance(A11,""pe"")"),65.04)</f>
        <v>65.040000000000006</v>
      </c>
      <c r="Q11" s="27">
        <f ca="1">IFERROR(__xludf.DUMMYFUNCTION("googlefinance(A11,""eps"")"),1.25)</f>
        <v>1.25</v>
      </c>
      <c r="R11" s="26">
        <v>12</v>
      </c>
      <c r="S11" s="26">
        <f t="shared" ca="1" si="9"/>
        <v>0.45333333333333337</v>
      </c>
      <c r="T11" s="26">
        <f ca="1">IFERROR(__xludf.DUMMYFUNCTION("GOOGLEFINANCE(A11,""high52"")"),81.88)</f>
        <v>81.88</v>
      </c>
      <c r="U11" s="26">
        <f ca="1">IFERROR(__xludf.DUMMYFUNCTION("googlefinance(A11,""low52"")"),59.37)</f>
        <v>59.37</v>
      </c>
      <c r="V11" s="26">
        <f ca="1">IFERROR(__xludf.DUMMYFUNCTION("GOOGLEFINANCE(A11,""Marketcap"")"),25935565700)</f>
        <v>25935565700</v>
      </c>
      <c r="W11" s="26">
        <f ca="1">IFERROR(__xludf.DUMMYFUNCTION("googlefinance(A11,""change"")"),0.71)</f>
        <v>0.71</v>
      </c>
      <c r="X11" s="31">
        <f ca="1">IFERROR(__xludf.DUMMYFUNCTION("googlefinance(A11,""changepct"")/100"),0.0088)</f>
        <v>8.8000000000000005E-3</v>
      </c>
      <c r="Y11" s="26">
        <f ca="1">IFERROR(__xludf.DUMMYFUNCTION("GOOGLEFINANCE(A11,""beta"")"),0.06)</f>
        <v>0.06</v>
      </c>
      <c r="Z11" s="34" t="str">
        <f ca="1">IFERROR(__xludf.DUMMYFUNCTION("SUBSTITUTE(index(IMPORTHTML(""http://finviz.com/quote.ashx?t=""&amp;A11,""table"", 11),11,6),""*"","""")"),"Nov 04 AMC")</f>
        <v>Nov 04 AMC</v>
      </c>
      <c r="AA11" s="35" t="str">
        <f ca="1">IFERROR(__xludf.DUMMYFUNCTION("SUBSTITUTE(index(IMPORTHTML(""http://finviz.com/quote.ashx?t=""&amp;A11,""table"", 11),1,12),""*"","""")"),"1.42%")</f>
        <v>1.42%</v>
      </c>
      <c r="AB11" s="35" t="str">
        <f ca="1">IFERROR(__xludf.DUMMYFUNCTION("SUBSTITUTE(index(IMPORTHTML(""http://finviz.com/quote.ashx?t=""&amp;A11,""table"", 11),2,12),""*"","""")"),"5.44%")</f>
        <v>5.44%</v>
      </c>
      <c r="AC11" s="35" t="str">
        <f ca="1">IFERROR(__xludf.DUMMYFUNCTION("SUBSTITUTE(index(IMPORTHTML(""http://finviz.com/quote.ashx?t=""&amp;A11,""table"", 11),3,12),""*"","""")"),"16.82%")</f>
        <v>16.82%</v>
      </c>
      <c r="AD11" s="35" t="str">
        <f ca="1">IFERROR(__xludf.DUMMYFUNCTION("SUBSTITUTE(index(IMPORTHTML(""http://finviz.com/quote.ashx?t=""&amp;A11,""table"", 11),6,12),""*"","""")"),"28.25%")</f>
        <v>28.25%</v>
      </c>
      <c r="AE11" s="35" t="str">
        <f ca="1">IFERROR(__xludf.DUMMYFUNCTION("SUBSTITUTE(index(IMPORTHTML(""http://finviz.com/quote.ashx?t=""&amp;A11,""table"", 11),5,12),""*"","""")"),"35.36%")</f>
        <v>35.36%</v>
      </c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ht="15">
      <c r="A12" s="11" t="s">
        <v>41</v>
      </c>
      <c r="B12" s="12" t="str">
        <f ca="1">IFERROR(__xludf.DUMMYFUNCTION("GOOGLEFINANCE(A12,""name"")"),"INVESCO EXCHANG/S&amp;P 500 HIGH DIVID")</f>
        <v>INVESCO EXCHANG/S&amp;P 500 HIGH DIVID</v>
      </c>
      <c r="C12" s="13">
        <f ca="1">IFERROR(__xludf.DUMMYFUNCTION("googlefinance(A12,""price"")"),42.45)</f>
        <v>42.45</v>
      </c>
      <c r="D12" s="14">
        <v>3</v>
      </c>
      <c r="E12" s="13">
        <v>42.04</v>
      </c>
      <c r="F12" s="13">
        <f t="shared" si="0"/>
        <v>126.12</v>
      </c>
      <c r="G12" s="13">
        <f t="shared" ca="1" si="1"/>
        <v>127.35000000000001</v>
      </c>
      <c r="H12" s="15">
        <f t="shared" ca="1" si="2"/>
        <v>1.230000000000004</v>
      </c>
      <c r="I12" s="16">
        <f t="shared" ca="1" si="3"/>
        <v>9.7526165556613056E-3</v>
      </c>
      <c r="J12" s="13" t="str">
        <f ca="1">IFERROR(__xludf.DUMMYFUNCTION("SUBSTITUTE(index(IMPORTHTML(""http://finviz.com/quote.ashx?t=""&amp;A12,""table"", 11),7,2),""*"","""")"),"1.75")</f>
        <v>1.75</v>
      </c>
      <c r="K12" s="17">
        <f t="shared" ca="1" si="4"/>
        <v>5.25</v>
      </c>
      <c r="L12" s="18">
        <f t="shared" ca="1" si="5"/>
        <v>4.1627021883920076E-2</v>
      </c>
      <c r="M12" s="18">
        <f t="shared" ca="1" si="6"/>
        <v>4.1224970553592456E-2</v>
      </c>
      <c r="N12" s="18">
        <f t="shared" ca="1" si="7"/>
        <v>2.9217896449113597E-2</v>
      </c>
      <c r="O12" s="19">
        <f t="shared" ca="1" si="8"/>
        <v>4.0205133032761992E-4</v>
      </c>
      <c r="P12" s="43" t="str">
        <f ca="1">IFERROR(__xludf.DUMMYFUNCTION("googlefinance(A12,""pe"")"),"#N/A")</f>
        <v>#N/A</v>
      </c>
      <c r="Q12" s="44" t="str">
        <f ca="1">IFERROR(__xludf.DUMMYFUNCTION("googlefinance(A12,""eps"")"),"#N/A")</f>
        <v>#N/A</v>
      </c>
      <c r="R12" s="13">
        <v>4</v>
      </c>
      <c r="S12" s="13">
        <f t="shared" ca="1" si="9"/>
        <v>1.3125</v>
      </c>
      <c r="T12" s="13">
        <f ca="1">IFERROR(__xludf.DUMMYFUNCTION("GOOGLEFINANCE(A12,""high52"")"),43.42)</f>
        <v>43.42</v>
      </c>
      <c r="U12" s="13">
        <f ca="1">IFERROR(__xludf.DUMMYFUNCTION("googlefinance(A12,""low52"")"),36.16)</f>
        <v>36.159999999999997</v>
      </c>
      <c r="V12" s="45" t="str">
        <f ca="1">IFERROR(__xludf.DUMMYFUNCTION("GOOGLEFINANCE(A12,""Marketcap"")"),"#N/A")</f>
        <v>#N/A</v>
      </c>
      <c r="W12" s="13">
        <f ca="1">IFERROR(__xludf.DUMMYFUNCTION("googlefinance(A12,""change"")"),-0.2)</f>
        <v>-0.2</v>
      </c>
      <c r="X12" s="18">
        <f ca="1">IFERROR(__xludf.DUMMYFUNCTION("googlefinance(A12,""changepct"")/100"),-0.00469999999999999)</f>
        <v>-4.6999999999999898E-3</v>
      </c>
      <c r="Y12" s="13" t="str">
        <f ca="1">IFERROR(__xludf.DUMMYFUNCTION("GOOGLEFINANCE(A12,""beta"")"),"#N/A")</f>
        <v>#N/A</v>
      </c>
      <c r="Z12" s="21" t="str">
        <f ca="1">IFERROR(__xludf.DUMMYFUNCTION("SUBSTITUTE(index(IMPORTHTML(""http://finviz.com/quote.ashx?t=""&amp;A12,""table"", 11),11,6),""*"","""")"),"-")</f>
        <v>-</v>
      </c>
      <c r="AA12" s="22" t="str">
        <f ca="1">IFERROR(__xludf.DUMMYFUNCTION("SUBSTITUTE(index(IMPORTHTML(""http://finviz.com/quote.ashx?t=""&amp;A12,""table"", 11),1,12),""*"","""")"),"-0.35%")</f>
        <v>-0.35%</v>
      </c>
      <c r="AB12" s="22" t="str">
        <f ca="1">IFERROR(__xludf.DUMMYFUNCTION("SUBSTITUTE(index(IMPORTHTML(""http://finviz.com/quote.ashx?t=""&amp;A12,""table"", 11),2,12),""*"","""")"),"0.05%")</f>
        <v>0.05%</v>
      </c>
      <c r="AC12" s="22" t="str">
        <f ca="1">IFERROR(__xludf.DUMMYFUNCTION("SUBSTITUTE(index(IMPORTHTML(""http://finviz.com/quote.ashx?t=""&amp;A12,""table"", 11),3,12),""*"","""")"),"1.64%")</f>
        <v>1.64%</v>
      </c>
      <c r="AD12" s="22" t="str">
        <f ca="1">IFERROR(__xludf.DUMMYFUNCTION("SUBSTITUTE(index(IMPORTHTML(""http://finviz.com/quote.ashx?t=""&amp;A12,""table"", 11),6,12),""*"","""")"),"11.65%")</f>
        <v>11.65%</v>
      </c>
      <c r="AE12" s="22" t="str">
        <f ca="1">IFERROR(__xludf.DUMMYFUNCTION("SUBSTITUTE(index(IMPORTHTML(""http://finviz.com/quote.ashx?t=""&amp;A12,""table"", 11),5,12),""*"","""")"),"8.06%")</f>
        <v>8.06%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5">
      <c r="A13" s="24" t="s">
        <v>42</v>
      </c>
      <c r="B13" s="37" t="str">
        <f ca="1">IFERROR(__xludf.DUMMYFUNCTION("GOOGLEFINANCE(A13,""name"")"),"Main Street Capital Corporation")</f>
        <v>Main Street Capital Corporation</v>
      </c>
      <c r="C13" s="26">
        <f ca="1">IFERROR(__xludf.DUMMYFUNCTION("googlefinance(A13,""price"")"),43.21)</f>
        <v>43.21</v>
      </c>
      <c r="D13" s="27">
        <v>2</v>
      </c>
      <c r="E13" s="26">
        <v>41.72</v>
      </c>
      <c r="F13" s="26">
        <f t="shared" si="0"/>
        <v>83.44</v>
      </c>
      <c r="G13" s="26">
        <f t="shared" ca="1" si="1"/>
        <v>86.42</v>
      </c>
      <c r="H13" s="28">
        <f t="shared" ca="1" si="2"/>
        <v>2.980000000000004</v>
      </c>
      <c r="I13" s="29">
        <f t="shared" ca="1" si="3"/>
        <v>3.5714285714285761E-2</v>
      </c>
      <c r="J13" s="26" t="str">
        <f ca="1">IFERROR(__xludf.DUMMYFUNCTION("SUBSTITUTE(index(IMPORTHTML(""http://finviz.com/quote.ashx?t=""&amp;A13,""table"", 11),7,2),""*"","""")"),"2.46")</f>
        <v>2.46</v>
      </c>
      <c r="K13" s="30">
        <f t="shared" ca="1" si="4"/>
        <v>4.92</v>
      </c>
      <c r="L13" s="31">
        <f t="shared" ca="1" si="5"/>
        <v>5.896452540747843E-2</v>
      </c>
      <c r="M13" s="31">
        <f t="shared" ca="1" si="6"/>
        <v>5.6931265910668827E-2</v>
      </c>
      <c r="N13" s="31">
        <f t="shared" ca="1" si="7"/>
        <v>1.982733106503649E-2</v>
      </c>
      <c r="O13" s="32">
        <f t="shared" ca="1" si="8"/>
        <v>2.0332594968096029E-3</v>
      </c>
      <c r="P13" s="33">
        <f ca="1">IFERROR(__xludf.DUMMYFUNCTION("googlefinance(A13,""pe"")"),15.46)</f>
        <v>15.46</v>
      </c>
      <c r="Q13" s="27">
        <f ca="1">IFERROR(__xludf.DUMMYFUNCTION("googlefinance(A13,""eps"")"),2.8)</f>
        <v>2.8</v>
      </c>
      <c r="R13" s="26">
        <v>4</v>
      </c>
      <c r="S13" s="26">
        <f t="shared" ca="1" si="9"/>
        <v>1.23</v>
      </c>
      <c r="T13" s="26">
        <f ca="1">IFERROR(__xludf.DUMMYFUNCTION("GOOGLEFINANCE(A13,""high52"")"),44.35)</f>
        <v>44.35</v>
      </c>
      <c r="U13" s="26">
        <f ca="1">IFERROR(__xludf.DUMMYFUNCTION("googlefinance(A13,""low52"")"),31.95)</f>
        <v>31.95</v>
      </c>
      <c r="V13" s="26">
        <f ca="1">IFERROR(__xludf.DUMMYFUNCTION("GOOGLEFINANCE(A13,""Marketcap"")"),2728063292)</f>
        <v>2728063292</v>
      </c>
      <c r="W13" s="26">
        <f ca="1">IFERROR(__xludf.DUMMYFUNCTION("googlefinance(A13,""change"")"),0.01)</f>
        <v>0.01</v>
      </c>
      <c r="X13" s="31">
        <f ca="1">IFERROR(__xludf.DUMMYFUNCTION("googlefinance(A13,""changepct"")/100"),0.0002)</f>
        <v>2.0000000000000001E-4</v>
      </c>
      <c r="Y13" s="26">
        <f ca="1">IFERROR(__xludf.DUMMYFUNCTION("GOOGLEFINANCE(A13,""beta"")"),0.8)</f>
        <v>0.8</v>
      </c>
      <c r="Z13" s="34" t="str">
        <f ca="1">IFERROR(__xludf.DUMMYFUNCTION("SUBSTITUTE(index(IMPORTHTML(""http://finviz.com/quote.ashx?t=""&amp;A13,""table"", 11),11,6),""*"","""")"),"Nov 07 AMC")</f>
        <v>Nov 07 AMC</v>
      </c>
      <c r="AA13" s="35" t="str">
        <f ca="1">IFERROR(__xludf.DUMMYFUNCTION("SUBSTITUTE(index(IMPORTHTML(""http://finviz.com/quote.ashx?t=""&amp;A13,""table"", 11),1,12),""*"","""")"),"1.98%")</f>
        <v>1.98%</v>
      </c>
      <c r="AB13" s="35" t="str">
        <f ca="1">IFERROR(__xludf.DUMMYFUNCTION("SUBSTITUTE(index(IMPORTHTML(""http://finviz.com/quote.ashx?t=""&amp;A13,""table"", 11),2,12),""*"","""")"),"0.02%")</f>
        <v>0.02%</v>
      </c>
      <c r="AC13" s="35" t="str">
        <f ca="1">IFERROR(__xludf.DUMMYFUNCTION("SUBSTITUTE(index(IMPORTHTML(""http://finviz.com/quote.ashx?t=""&amp;A13,""table"", 11),3,12),""*"","""")"),"1.22%")</f>
        <v>1.22%</v>
      </c>
      <c r="AD13" s="35" t="str">
        <f ca="1">IFERROR(__xludf.DUMMYFUNCTION("SUBSTITUTE(index(IMPORTHTML(""http://finviz.com/quote.ashx?t=""&amp;A13,""table"", 11),6,12),""*"","""")"),"28.60%")</f>
        <v>28.60%</v>
      </c>
      <c r="AE13" s="35" t="str">
        <f ca="1">IFERROR(__xludf.DUMMYFUNCTION("SUBSTITUTE(index(IMPORTHTML(""http://finviz.com/quote.ashx?t=""&amp;A13,""table"", 11),5,12),""*"","""")"),"21.27%")</f>
        <v>21.27%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ht="15">
      <c r="A14" s="11" t="s">
        <v>43</v>
      </c>
      <c r="B14" s="12" t="str">
        <f ca="1">IFERROR(__xludf.DUMMYFUNCTION("GOOGLEFINANCE(A14,""name"")"),"Philip Morris International Inc.")</f>
        <v>Philip Morris International Inc.</v>
      </c>
      <c r="C14" s="13">
        <f ca="1">IFERROR(__xludf.DUMMYFUNCTION("googlefinance(A14,""price"")"),80.94)</f>
        <v>80.94</v>
      </c>
      <c r="D14" s="14">
        <v>1</v>
      </c>
      <c r="E14" s="13">
        <v>76.03</v>
      </c>
      <c r="F14" s="13">
        <f t="shared" si="0"/>
        <v>76.03</v>
      </c>
      <c r="G14" s="13">
        <f t="shared" ca="1" si="1"/>
        <v>80.94</v>
      </c>
      <c r="H14" s="15">
        <f t="shared" ca="1" si="2"/>
        <v>4.9099999999999966</v>
      </c>
      <c r="I14" s="16">
        <f t="shared" ca="1" si="3"/>
        <v>6.4579771142969838E-2</v>
      </c>
      <c r="J14" s="13" t="str">
        <f ca="1">IFERROR(__xludf.DUMMYFUNCTION("SUBSTITUTE(index(IMPORTHTML(""http://finviz.com/quote.ashx?t=""&amp;A14,""table"", 11),7,2),""*"","""")"),"4.68")</f>
        <v>4.68</v>
      </c>
      <c r="K14" s="17">
        <f t="shared" ca="1" si="4"/>
        <v>4.68</v>
      </c>
      <c r="L14" s="18">
        <f t="shared" ca="1" si="5"/>
        <v>6.1554649480468231E-2</v>
      </c>
      <c r="M14" s="18">
        <f t="shared" ca="1" si="6"/>
        <v>5.7820607857672346E-2</v>
      </c>
      <c r="N14" s="18">
        <f t="shared" ca="1" si="7"/>
        <v>1.8570055269660421E-2</v>
      </c>
      <c r="O14" s="19">
        <f t="shared" ca="1" si="8"/>
        <v>3.7340416227958848E-3</v>
      </c>
      <c r="P14" s="46">
        <f ca="1">IFERROR(__xludf.DUMMYFUNCTION("googlefinance(A14,""pe"")"),16.88)</f>
        <v>16.88</v>
      </c>
      <c r="Q14" s="14">
        <f ca="1">IFERROR(__xludf.DUMMYFUNCTION("googlefinance(A14,""eps"")"),4.8)</f>
        <v>4.8</v>
      </c>
      <c r="R14" s="13">
        <v>4</v>
      </c>
      <c r="S14" s="13">
        <f t="shared" ca="1" si="9"/>
        <v>1.17</v>
      </c>
      <c r="T14" s="13">
        <f ca="1">IFERROR(__xludf.DUMMYFUNCTION("GOOGLEFINANCE(A14,""high52"")"),92.74)</f>
        <v>92.74</v>
      </c>
      <c r="U14" s="13">
        <f ca="1">IFERROR(__xludf.DUMMYFUNCTION("googlefinance(A14,""low52"")"),64.67)</f>
        <v>64.67</v>
      </c>
      <c r="V14" s="13">
        <f ca="1">IFERROR(__xludf.DUMMYFUNCTION("GOOGLEFINANCE(A14,""Marketcap"")"),125932526298)</f>
        <v>125932526298</v>
      </c>
      <c r="W14" s="13">
        <f ca="1">IFERROR(__xludf.DUMMYFUNCTION("googlefinance(A14,""change"")"),-0.87)</f>
        <v>-0.87</v>
      </c>
      <c r="X14" s="18">
        <f ca="1">IFERROR(__xludf.DUMMYFUNCTION("googlefinance(A14,""changepct"")/100"),-0.0106)</f>
        <v>-1.06E-2</v>
      </c>
      <c r="Y14" s="13">
        <f ca="1">IFERROR(__xludf.DUMMYFUNCTION("GOOGLEFINANCE(A14,""beta"")"),1)</f>
        <v>1</v>
      </c>
      <c r="Z14" s="21" t="str">
        <f ca="1">IFERROR(__xludf.DUMMYFUNCTION("SUBSTITUTE(index(IMPORTHTML(""http://finviz.com/quote.ashx?t=""&amp;A14,""table"", 11),11,6),""*"","""")"),"Oct 17 BMO")</f>
        <v>Oct 17 BMO</v>
      </c>
      <c r="AA14" s="22" t="str">
        <f ca="1">IFERROR(__xludf.DUMMYFUNCTION("SUBSTITUTE(index(IMPORTHTML(""http://finviz.com/quote.ashx?t=""&amp;A14,""table"", 11),1,12),""*"","""")"),"0.84%")</f>
        <v>0.84%</v>
      </c>
      <c r="AB14" s="22" t="str">
        <f ca="1">IFERROR(__xludf.DUMMYFUNCTION("SUBSTITUTE(index(IMPORTHTML(""http://finviz.com/quote.ashx?t=""&amp;A14,""table"", 11),2,12),""*"","""")"),"7.80%")</f>
        <v>7.80%</v>
      </c>
      <c r="AC14" s="22" t="str">
        <f ca="1">IFERROR(__xludf.DUMMYFUNCTION("SUBSTITUTE(index(IMPORTHTML(""http://finviz.com/quote.ashx?t=""&amp;A14,""table"", 11),3,12),""*"","""")"),"-2.11%")</f>
        <v>-2.11%</v>
      </c>
      <c r="AD14" s="22" t="str">
        <f ca="1">IFERROR(__xludf.DUMMYFUNCTION("SUBSTITUTE(index(IMPORTHTML(""http://finviz.com/quote.ashx?t=""&amp;A14,""table"", 11),6,12),""*"","""")"),"22.60%")</f>
        <v>22.60%</v>
      </c>
      <c r="AE14" s="22" t="str">
        <f ca="1">IFERROR(__xludf.DUMMYFUNCTION("SUBSTITUTE(index(IMPORTHTML(""http://finviz.com/quote.ashx?t=""&amp;A14,""table"", 11),5,12),""*"","""")"),"-8.03%")</f>
        <v>-8.03%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ht="15">
      <c r="A15" s="24" t="s">
        <v>44</v>
      </c>
      <c r="B15" s="37" t="str">
        <f ca="1">IFERROR(__xludf.DUMMYFUNCTION("GOOGLEFINANCE(A15,""name"")"),"Stag Industrial Inc")</f>
        <v>Stag Industrial Inc</v>
      </c>
      <c r="C15" s="26">
        <f ca="1">IFERROR(__xludf.DUMMYFUNCTION("googlefinance(A15,""price"")"),30.8)</f>
        <v>30.8</v>
      </c>
      <c r="D15" s="27">
        <v>3</v>
      </c>
      <c r="E15" s="26">
        <v>29.93</v>
      </c>
      <c r="F15" s="26">
        <f t="shared" si="0"/>
        <v>89.789999999999992</v>
      </c>
      <c r="G15" s="26">
        <f t="shared" ca="1" si="1"/>
        <v>92.4</v>
      </c>
      <c r="H15" s="28">
        <f t="shared" ca="1" si="2"/>
        <v>2.6100000000000136</v>
      </c>
      <c r="I15" s="29">
        <f t="shared" ca="1" si="3"/>
        <v>2.9067824924824744E-2</v>
      </c>
      <c r="J15" s="26" t="str">
        <f ca="1">IFERROR(__xludf.DUMMYFUNCTION("SUBSTITUTE(index(IMPORTHTML(""http://finviz.com/quote.ashx?t=""&amp;A15,""table"", 11),7,2),""*"","""")"),"1.43")</f>
        <v>1.43</v>
      </c>
      <c r="K15" s="30">
        <f t="shared" ca="1" si="4"/>
        <v>4.29</v>
      </c>
      <c r="L15" s="31">
        <f t="shared" ca="1" si="5"/>
        <v>4.7778149014366861E-2</v>
      </c>
      <c r="M15" s="31">
        <f t="shared" ca="1" si="6"/>
        <v>4.6428571428571423E-2</v>
      </c>
      <c r="N15" s="31">
        <f t="shared" ca="1" si="7"/>
        <v>2.1199321805246144E-2</v>
      </c>
      <c r="O15" s="32">
        <f t="shared" ca="1" si="8"/>
        <v>1.3495775857954376E-3</v>
      </c>
      <c r="P15" s="33">
        <f ca="1">IFERROR(__xludf.DUMMYFUNCTION("googlefinance(A15,""pe"")"),38.81)</f>
        <v>38.81</v>
      </c>
      <c r="Q15" s="27">
        <f ca="1">IFERROR(__xludf.DUMMYFUNCTION("googlefinance(A15,""eps"")"),0.79)</f>
        <v>0.79</v>
      </c>
      <c r="R15" s="26">
        <v>4</v>
      </c>
      <c r="S15" s="26">
        <f t="shared" ca="1" si="9"/>
        <v>1.0725</v>
      </c>
      <c r="T15" s="26">
        <f ca="1">IFERROR(__xludf.DUMMYFUNCTION("GOOGLEFINANCE(A15,""high52"")"),31.66)</f>
        <v>31.66</v>
      </c>
      <c r="U15" s="26">
        <f ca="1">IFERROR(__xludf.DUMMYFUNCTION("googlefinance(A15,""low52"")"),23.24)</f>
        <v>23.24</v>
      </c>
      <c r="V15" s="26">
        <f ca="1">IFERROR(__xludf.DUMMYFUNCTION("GOOGLEFINANCE(A15,""Marketcap"")"),4089797338)</f>
        <v>4089797338</v>
      </c>
      <c r="W15" s="26">
        <f ca="1">IFERROR(__xludf.DUMMYFUNCTION("googlefinance(A15,""change"")"),-0.17)</f>
        <v>-0.17</v>
      </c>
      <c r="X15" s="31">
        <f ca="1">IFERROR(__xludf.DUMMYFUNCTION("googlefinance(A15,""changepct"")/100"),-0.0055)</f>
        <v>-5.4999999999999997E-3</v>
      </c>
      <c r="Y15" s="26">
        <f ca="1">IFERROR(__xludf.DUMMYFUNCTION("GOOGLEFINANCE(A15,""beta"")"),0.89)</f>
        <v>0.89</v>
      </c>
      <c r="Z15" s="34" t="str">
        <f ca="1">IFERROR(__xludf.DUMMYFUNCTION("SUBSTITUTE(index(IMPORTHTML(""http://finviz.com/quote.ashx?t=""&amp;A15,""table"", 11),11,6),""*"","""")"),"Oct 30 AMC")</f>
        <v>Oct 30 AMC</v>
      </c>
      <c r="AA15" s="35" t="str">
        <f ca="1">IFERROR(__xludf.DUMMYFUNCTION("SUBSTITUTE(index(IMPORTHTML(""http://finviz.com/quote.ashx?t=""&amp;A15,""table"", 11),1,12),""*"","""")"),"0.68%")</f>
        <v>0.68%</v>
      </c>
      <c r="AB15" s="35" t="str">
        <f ca="1">IFERROR(__xludf.DUMMYFUNCTION("SUBSTITUTE(index(IMPORTHTML(""http://finviz.com/quote.ashx?t=""&amp;A15,""table"", 11),2,12),""*"","""")"),"5.02%")</f>
        <v>5.02%</v>
      </c>
      <c r="AC15" s="35" t="str">
        <f ca="1">IFERROR(__xludf.DUMMYFUNCTION("SUBSTITUTE(index(IMPORTHTML(""http://finviz.com/quote.ashx?t=""&amp;A15,""table"", 11),3,12),""*"","""")"),"4.17%")</f>
        <v>4.17%</v>
      </c>
      <c r="AD15" s="35" t="str">
        <f ca="1">IFERROR(__xludf.DUMMYFUNCTION("SUBSTITUTE(index(IMPORTHTML(""http://finviz.com/quote.ashx?t=""&amp;A15,""table"", 11),6,12),""*"","""")"),"24.44%")</f>
        <v>24.44%</v>
      </c>
      <c r="AE15" s="35" t="str">
        <f ca="1">IFERROR(__xludf.DUMMYFUNCTION("SUBSTITUTE(index(IMPORTHTML(""http://finviz.com/quote.ashx?t=""&amp;A15,""table"", 11),5,12),""*"","""")"),"17.41%")</f>
        <v>17.41%</v>
      </c>
      <c r="AG15" s="38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ht="15">
      <c r="A16" s="11" t="s">
        <v>45</v>
      </c>
      <c r="B16" s="12" t="str">
        <f ca="1">IFERROR(__xludf.DUMMYFUNCTION("GOOGLEFINANCE(A16,""name"")"),"Johnson &amp; Johnson")</f>
        <v>Johnson &amp; Johnson</v>
      </c>
      <c r="C16" s="13">
        <f ca="1">IFERROR(__xludf.DUMMYFUNCTION("googlefinance(A16,""price"")"),132.42)</f>
        <v>132.41999999999999</v>
      </c>
      <c r="D16" s="14">
        <v>1</v>
      </c>
      <c r="E16" s="13">
        <v>131.77000000000001</v>
      </c>
      <c r="F16" s="13">
        <f t="shared" si="0"/>
        <v>131.77000000000001</v>
      </c>
      <c r="G16" s="13">
        <f t="shared" ca="1" si="1"/>
        <v>132.41999999999999</v>
      </c>
      <c r="H16" s="15">
        <f t="shared" ca="1" si="2"/>
        <v>0.64999999999997726</v>
      </c>
      <c r="I16" s="16">
        <f t="shared" ca="1" si="3"/>
        <v>4.9328375199209013E-3</v>
      </c>
      <c r="J16" s="13" t="str">
        <f ca="1">IFERROR(__xludf.DUMMYFUNCTION("SUBSTITUTE(index(IMPORTHTML(""http://finviz.com/quote.ashx?t=""&amp;A16,""table"", 11),7,2),""*"","""")"),"3.80")</f>
        <v>3.80</v>
      </c>
      <c r="K16" s="17">
        <f t="shared" ca="1" si="4"/>
        <v>3.8</v>
      </c>
      <c r="L16" s="18">
        <f t="shared" ca="1" si="5"/>
        <v>2.8838127039538586E-2</v>
      </c>
      <c r="M16" s="18">
        <f t="shared" ca="1" si="6"/>
        <v>2.8696571514876909E-2</v>
      </c>
      <c r="N16" s="18">
        <f t="shared" ca="1" si="7"/>
        <v>3.0381105989726126E-2</v>
      </c>
      <c r="O16" s="19">
        <f t="shared" ca="1" si="8"/>
        <v>1.4155552466167676E-4</v>
      </c>
      <c r="P16" s="20">
        <f ca="1">IFERROR(__xludf.DUMMYFUNCTION("googlefinance(A16,""pe"")"),25.26)</f>
        <v>25.26</v>
      </c>
      <c r="Q16" s="14">
        <f ca="1">IFERROR(__xludf.DUMMYFUNCTION("googlefinance(A16,""eps"")"),5.24)</f>
        <v>5.24</v>
      </c>
      <c r="R16" s="13">
        <v>4</v>
      </c>
      <c r="S16" s="13">
        <f t="shared" ca="1" si="9"/>
        <v>0.95</v>
      </c>
      <c r="T16" s="13">
        <f ca="1">IFERROR(__xludf.DUMMYFUNCTION("GOOGLEFINANCE(A16,""high52"")"),148.99)</f>
        <v>148.99</v>
      </c>
      <c r="U16" s="13">
        <f ca="1">IFERROR(__xludf.DUMMYFUNCTION("googlefinance(A16,""low52"")"),121)</f>
        <v>121</v>
      </c>
      <c r="V16" s="13">
        <f ca="1">IFERROR(__xludf.DUMMYFUNCTION("GOOGLEFINANCE(A16,""Marketcap"")"),348749344262)</f>
        <v>348749344262</v>
      </c>
      <c r="W16" s="13">
        <f ca="1">IFERROR(__xludf.DUMMYFUNCTION("googlefinance(A16,""change"")"),3.29)</f>
        <v>3.29</v>
      </c>
      <c r="X16" s="18">
        <f ca="1">IFERROR(__xludf.DUMMYFUNCTION("googlefinance(A16,""changepct"")/100"),0.0255)</f>
        <v>2.5499999999999998E-2</v>
      </c>
      <c r="Y16" s="13">
        <f ca="1">IFERROR(__xludf.DUMMYFUNCTION("GOOGLEFINANCE(A16,""beta"")"),0.69)</f>
        <v>0.69</v>
      </c>
      <c r="Z16" s="21" t="str">
        <f ca="1">IFERROR(__xludf.DUMMYFUNCTION("SUBSTITUTE(index(IMPORTHTML(""http://finviz.com/quote.ashx?t=""&amp;A16,""table"", 11),11,6),""*"","""")"),"Oct 15 BMO")</f>
        <v>Oct 15 BMO</v>
      </c>
      <c r="AA16" s="22" t="str">
        <f ca="1">IFERROR(__xludf.DUMMYFUNCTION("SUBSTITUTE(index(IMPORTHTML(""http://finviz.com/quote.ashx?t=""&amp;A16,""table"", 11),1,12),""*"","""")"),"-0.06%")</f>
        <v>-0.06%</v>
      </c>
      <c r="AB16" s="22" t="str">
        <f ca="1">IFERROR(__xludf.DUMMYFUNCTION("SUBSTITUTE(index(IMPORTHTML(""http://finviz.com/quote.ashx?t=""&amp;A16,""table"", 11),2,12),""*"","""")"),"-0.20%")</f>
        <v>-0.20%</v>
      </c>
      <c r="AC16" s="22" t="str">
        <f ca="1">IFERROR(__xludf.DUMMYFUNCTION("SUBSTITUTE(index(IMPORTHTML(""http://finviz.com/quote.ashx?t=""&amp;A16,""table"", 11),3,12),""*"","""")"),"-0.84%")</f>
        <v>-0.84%</v>
      </c>
      <c r="AD16" s="22" t="str">
        <f ca="1">IFERROR(__xludf.DUMMYFUNCTION("SUBSTITUTE(index(IMPORTHTML(""http://finviz.com/quote.ashx?t=""&amp;A16,""table"", 11),6,12),""*"","""")"),"0.06%")</f>
        <v>0.06%</v>
      </c>
      <c r="AE16" s="22" t="str">
        <f ca="1">IFERROR(__xludf.DUMMYFUNCTION("SUBSTITUTE(index(IMPORTHTML(""http://finviz.com/quote.ashx?t=""&amp;A16,""table"", 11),5,12),""*"","""")"),"-5.73%")</f>
        <v>-5.73%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15">
      <c r="A17" s="24" t="s">
        <v>46</v>
      </c>
      <c r="B17" s="37" t="str">
        <f ca="1">IFERROR(__xludf.DUMMYFUNCTION("GOOGLEFINANCE(A17,""name"")"),"Phillips 66")</f>
        <v>Phillips 66</v>
      </c>
      <c r="C17" s="26">
        <f ca="1">IFERROR(__xludf.DUMMYFUNCTION("googlefinance(A17,""price"")"),117.09)</f>
        <v>117.09</v>
      </c>
      <c r="D17" s="27">
        <v>1</v>
      </c>
      <c r="E17" s="26">
        <v>103.06</v>
      </c>
      <c r="F17" s="26">
        <f t="shared" si="0"/>
        <v>103.06</v>
      </c>
      <c r="G17" s="26">
        <f t="shared" ca="1" si="1"/>
        <v>117.09</v>
      </c>
      <c r="H17" s="28">
        <f t="shared" ca="1" si="2"/>
        <v>14.030000000000001</v>
      </c>
      <c r="I17" s="29">
        <f t="shared" ca="1" si="3"/>
        <v>0.13613429070444402</v>
      </c>
      <c r="J17" s="26" t="str">
        <f ca="1">IFERROR(__xludf.DUMMYFUNCTION("SUBSTITUTE(index(IMPORTHTML(""http://finviz.com/quote.ashx?t=""&amp;A17,""table"", 11),7,2),""*"","""")"),"3.60")</f>
        <v>3.60</v>
      </c>
      <c r="K17" s="30">
        <f t="shared" ca="1" si="4"/>
        <v>3.6</v>
      </c>
      <c r="L17" s="31">
        <f t="shared" ca="1" si="5"/>
        <v>3.4931108092373375E-2</v>
      </c>
      <c r="M17" s="31">
        <f t="shared" ca="1" si="6"/>
        <v>3.0745580322828592E-2</v>
      </c>
      <c r="N17" s="31">
        <f t="shared" ca="1" si="7"/>
        <v>2.6863945781128475E-2</v>
      </c>
      <c r="O17" s="32">
        <f t="shared" ca="1" si="8"/>
        <v>4.1855277695447834E-3</v>
      </c>
      <c r="P17" s="33">
        <f ca="1">IFERROR(__xludf.DUMMYFUNCTION("googlefinance(A17,""pe"")"),11.76)</f>
        <v>11.76</v>
      </c>
      <c r="Q17" s="27">
        <f ca="1">IFERROR(__xludf.DUMMYFUNCTION("googlefinance(A17,""eps"")"),9.96)</f>
        <v>9.9600000000000009</v>
      </c>
      <c r="R17" s="26">
        <v>4</v>
      </c>
      <c r="S17" s="26">
        <f t="shared" ca="1" si="9"/>
        <v>0.9</v>
      </c>
      <c r="T17" s="26">
        <f ca="1">IFERROR(__xludf.DUMMYFUNCTION("GOOGLEFINANCE(A17,""high52"")"),119.78)</f>
        <v>119.78</v>
      </c>
      <c r="U17" s="26">
        <f ca="1">IFERROR(__xludf.DUMMYFUNCTION("googlefinance(A17,""low52"")"),78.44)</f>
        <v>78.44</v>
      </c>
      <c r="V17" s="26">
        <f ca="1">IFERROR(__xludf.DUMMYFUNCTION("GOOGLEFINANCE(A17,""Marketcap"")"),52029876592)</f>
        <v>52029876592</v>
      </c>
      <c r="W17" s="26">
        <f ca="1">IFERROR(__xludf.DUMMYFUNCTION("googlefinance(A17,""change"")"),-1.87)</f>
        <v>-1.87</v>
      </c>
      <c r="X17" s="31">
        <f ca="1">IFERROR(__xludf.DUMMYFUNCTION("googlefinance(A17,""changepct"")/100"),-0.0157)</f>
        <v>-1.5699999999999999E-2</v>
      </c>
      <c r="Y17" s="26">
        <f ca="1">IFERROR(__xludf.DUMMYFUNCTION("GOOGLEFINANCE(A17,""beta"")"),1.07)</f>
        <v>1.07</v>
      </c>
      <c r="Z17" s="34" t="str">
        <f ca="1">IFERROR(__xludf.DUMMYFUNCTION("SUBSTITUTE(index(IMPORTHTML(""http://finviz.com/quote.ashx?t=""&amp;A17,""table"", 11),11,6),""*"","""")"),"Oct 25 BMO")</f>
        <v>Oct 25 BMO</v>
      </c>
      <c r="AA17" s="35" t="str">
        <f ca="1">IFERROR(__xludf.DUMMYFUNCTION("SUBSTITUTE(index(IMPORTHTML(""http://finviz.com/quote.ashx?t=""&amp;A17,""table"", 11),1,12),""*"","""")"),"9.37%")</f>
        <v>9.37%</v>
      </c>
      <c r="AB17" s="35" t="str">
        <f ca="1">IFERROR(__xludf.DUMMYFUNCTION("SUBSTITUTE(index(IMPORTHTML(""http://finviz.com/quote.ashx?t=""&amp;A17,""table"", 11),2,12),""*"","""")"),"16.17%")</f>
        <v>16.17%</v>
      </c>
      <c r="AC17" s="35" t="str">
        <f ca="1">IFERROR(__xludf.DUMMYFUNCTION("SUBSTITUTE(index(IMPORTHTML(""http://finviz.com/quote.ashx?t=""&amp;A17,""table"", 11),3,12),""*"","""")"),"15.99%")</f>
        <v>15.99%</v>
      </c>
      <c r="AD17" s="35" t="str">
        <f ca="1">IFERROR(__xludf.DUMMYFUNCTION("SUBSTITUTE(index(IMPORTHTML(""http://finviz.com/quote.ashx?t=""&amp;A17,""table"", 11),6,12),""*"","""")"),"38.08%")</f>
        <v>38.08%</v>
      </c>
      <c r="AE17" s="35" t="str">
        <f ca="1">IFERROR(__xludf.DUMMYFUNCTION("SUBSTITUTE(index(IMPORTHTML(""http://finviz.com/quote.ashx?t=""&amp;A17,""table"", 11),5,12),""*"","""")"),"19.62%")</f>
        <v>19.62%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1:44" ht="15">
      <c r="A18" s="11" t="s">
        <v>47</v>
      </c>
      <c r="B18" s="12" t="str">
        <f ca="1">IFERROR(__xludf.DUMMYFUNCTION("GOOGLEFINANCE(A18,""name"")"),"Exxon Mobil Corporation")</f>
        <v>Exxon Mobil Corporation</v>
      </c>
      <c r="C18" s="13">
        <f ca="1">IFERROR(__xludf.DUMMYFUNCTION("googlefinance(A18,""price"")"),67.63)</f>
        <v>67.63</v>
      </c>
      <c r="D18" s="14">
        <v>1</v>
      </c>
      <c r="E18" s="13">
        <v>71.55</v>
      </c>
      <c r="F18" s="13">
        <f t="shared" si="0"/>
        <v>71.55</v>
      </c>
      <c r="G18" s="13">
        <f t="shared" ca="1" si="1"/>
        <v>67.63</v>
      </c>
      <c r="H18" s="15">
        <f t="shared" ca="1" si="2"/>
        <v>-3.9200000000000017</v>
      </c>
      <c r="I18" s="16">
        <f t="shared" ca="1" si="3"/>
        <v>-5.4786862334032169E-2</v>
      </c>
      <c r="J18" s="13" t="str">
        <f ca="1">IFERROR(__xludf.DUMMYFUNCTION("SUBSTITUTE(index(IMPORTHTML(""http://finviz.com/quote.ashx?t=""&amp;A18,""table"", 11),7,2),""*"","""")"),"3.48")</f>
        <v>3.48</v>
      </c>
      <c r="K18" s="17">
        <f t="shared" ca="1" si="4"/>
        <v>3.48</v>
      </c>
      <c r="L18" s="18">
        <f t="shared" ca="1" si="5"/>
        <v>4.8637316561844862E-2</v>
      </c>
      <c r="M18" s="18">
        <f t="shared" ca="1" si="6"/>
        <v>5.1456454236285677E-2</v>
      </c>
      <c r="N18" s="18">
        <f t="shared" ca="1" si="7"/>
        <v>1.5516343438190439E-2</v>
      </c>
      <c r="O18" s="19">
        <f t="shared" ca="1" si="8"/>
        <v>-2.819137674440815E-3</v>
      </c>
      <c r="P18" s="20">
        <f ca="1">IFERROR(__xludf.DUMMYFUNCTION("googlefinance(A18,""pe"")"),14.05)</f>
        <v>14.05</v>
      </c>
      <c r="Q18" s="14">
        <f ca="1">IFERROR(__xludf.DUMMYFUNCTION("googlefinance(A18,""eps"")"),4.81)</f>
        <v>4.8099999999999996</v>
      </c>
      <c r="R18" s="13">
        <v>4</v>
      </c>
      <c r="S18" s="13">
        <f t="shared" ca="1" si="9"/>
        <v>0.87</v>
      </c>
      <c r="T18" s="13">
        <f ca="1">IFERROR(__xludf.DUMMYFUNCTION("GOOGLEFINANCE(A18,""high52"")"),83.75)</f>
        <v>83.75</v>
      </c>
      <c r="U18" s="13">
        <f ca="1">IFERROR(__xludf.DUMMYFUNCTION("googlefinance(A18,""low52"")"),64.65)</f>
        <v>64.650000000000006</v>
      </c>
      <c r="V18" s="13">
        <f ca="1">IFERROR(__xludf.DUMMYFUNCTION("GOOGLEFINANCE(A18,""Marketcap"")"),286403575469)</f>
        <v>286403575469</v>
      </c>
      <c r="W18" s="13">
        <f ca="1">IFERROR(__xludf.DUMMYFUNCTION("googlefinance(A18,""change"")"),-0.82)</f>
        <v>-0.82</v>
      </c>
      <c r="X18" s="18">
        <f ca="1">IFERROR(__xludf.DUMMYFUNCTION("googlefinance(A18,""changepct"")/100"),-0.012)</f>
        <v>-1.2E-2</v>
      </c>
      <c r="Y18" s="13">
        <f ca="1">IFERROR(__xludf.DUMMYFUNCTION("GOOGLEFINANCE(A18,""beta"")"),0.99)</f>
        <v>0.99</v>
      </c>
      <c r="Z18" s="21" t="str">
        <f ca="1">IFERROR(__xludf.DUMMYFUNCTION("SUBSTITUTE(index(IMPORTHTML(""http://finviz.com/quote.ashx?t=""&amp;A18,""table"", 11),11,6),""*"","""")"),"Nov 01 BMO")</f>
        <v>Nov 01 BMO</v>
      </c>
      <c r="AA18" s="22" t="str">
        <f ca="1">IFERROR(__xludf.DUMMYFUNCTION("SUBSTITUTE(index(IMPORTHTML(""http://finviz.com/quote.ashx?t=""&amp;A18,""table"", 11),1,12),""*"","""")"),"-0.94%")</f>
        <v>-0.94%</v>
      </c>
      <c r="AB18" s="22" t="str">
        <f ca="1">IFERROR(__xludf.DUMMYFUNCTION("SUBSTITUTE(index(IMPORTHTML(""http://finviz.com/quote.ashx?t=""&amp;A18,""table"", 11),2,12),""*"","""")"),"-3.07%")</f>
        <v>-3.07%</v>
      </c>
      <c r="AC18" s="22" t="str">
        <f ca="1">IFERROR(__xludf.DUMMYFUNCTION("SUBSTITUTE(index(IMPORTHTML(""http://finviz.com/quote.ashx?t=""&amp;A18,""table"", 11),3,12),""*"","""")"),"-7.96%")</f>
        <v>-7.96%</v>
      </c>
      <c r="AD18" s="22" t="str">
        <f ca="1">IFERROR(__xludf.DUMMYFUNCTION("SUBSTITUTE(index(IMPORTHTML(""http://finviz.com/quote.ashx?t=""&amp;A18,""table"", 11),6,12),""*"","""")"),"0.37%")</f>
        <v>0.37%</v>
      </c>
      <c r="AE18" s="22" t="str">
        <f ca="1">IFERROR(__xludf.DUMMYFUNCTION("SUBSTITUTE(index(IMPORTHTML(""http://finviz.com/quote.ashx?t=""&amp;A18,""table"", 11),5,12),""*"","""")"),"-11.72%")</f>
        <v>-11.72%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15">
      <c r="A19" s="24" t="s">
        <v>48</v>
      </c>
      <c r="B19" s="37" t="str">
        <f ca="1">IFERROR(__xludf.DUMMYFUNCTION("GOOGLEFINANCE(A19,""name"")"),"Target Corporation")</f>
        <v>Target Corporation</v>
      </c>
      <c r="C19" s="26">
        <f ca="1">IFERROR(__xludf.DUMMYFUNCTION("googlefinance(A19,""price"")"),107.55)</f>
        <v>107.55</v>
      </c>
      <c r="D19" s="27">
        <v>1</v>
      </c>
      <c r="E19" s="26">
        <v>104.12</v>
      </c>
      <c r="F19" s="26">
        <f t="shared" si="0"/>
        <v>104.12</v>
      </c>
      <c r="G19" s="26">
        <f t="shared" ca="1" si="1"/>
        <v>107.55</v>
      </c>
      <c r="H19" s="28">
        <f t="shared" ca="1" si="2"/>
        <v>3.4299999999999926</v>
      </c>
      <c r="I19" s="29">
        <f t="shared" ca="1" si="3"/>
        <v>3.2942758355743298E-2</v>
      </c>
      <c r="J19" s="26" t="str">
        <f ca="1">IFERROR(__xludf.DUMMYFUNCTION("SUBSTITUTE(index(IMPORTHTML(""http://finviz.com/quote.ashx?t=""&amp;A19,""table"", 11),7,2),""*"","""")"),"2.64")</f>
        <v>2.64</v>
      </c>
      <c r="K19" s="30">
        <f t="shared" ca="1" si="4"/>
        <v>2.64</v>
      </c>
      <c r="L19" s="31">
        <f t="shared" ca="1" si="5"/>
        <v>2.5355359200922013E-2</v>
      </c>
      <c r="M19" s="31">
        <f t="shared" ca="1" si="6"/>
        <v>2.4546722454672248E-2</v>
      </c>
      <c r="N19" s="31">
        <f t="shared" ca="1" si="7"/>
        <v>2.4675184633703707E-2</v>
      </c>
      <c r="O19" s="32">
        <f t="shared" ca="1" si="8"/>
        <v>8.0863674624976484E-4</v>
      </c>
      <c r="P19" s="33">
        <f ca="1">IFERROR(__xludf.DUMMYFUNCTION("googlefinance(A19,""pe"")"),17.8)</f>
        <v>17.8</v>
      </c>
      <c r="Q19" s="27">
        <f ca="1">IFERROR(__xludf.DUMMYFUNCTION("googlefinance(A19,""eps"")"),6.04)</f>
        <v>6.04</v>
      </c>
      <c r="R19" s="26">
        <v>4</v>
      </c>
      <c r="S19" s="26">
        <f t="shared" ca="1" si="9"/>
        <v>0.66</v>
      </c>
      <c r="T19" s="26">
        <f ca="1">IFERROR(__xludf.DUMMYFUNCTION("GOOGLEFINANCE(A19,""high52"")"),114.83)</f>
        <v>114.83</v>
      </c>
      <c r="U19" s="26">
        <f ca="1">IFERROR(__xludf.DUMMYFUNCTION("googlefinance(A19,""low52"")"),60.15)</f>
        <v>60.15</v>
      </c>
      <c r="V19" s="26">
        <f ca="1">IFERROR(__xludf.DUMMYFUNCTION("GOOGLEFINANCE(A19,""Marketcap"")"),54965742755)</f>
        <v>54965742755</v>
      </c>
      <c r="W19" s="26">
        <f ca="1">IFERROR(__xludf.DUMMYFUNCTION("googlefinance(A19,""change"")"),-0.58)</f>
        <v>-0.57999999999999996</v>
      </c>
      <c r="X19" s="31">
        <f ca="1">IFERROR(__xludf.DUMMYFUNCTION("googlefinance(A19,""changepct"")/100"),-0.0054)</f>
        <v>-5.4000000000000003E-3</v>
      </c>
      <c r="Y19" s="26">
        <f ca="1">IFERROR(__xludf.DUMMYFUNCTION("GOOGLEFINANCE(A19,""beta"")"),0.54)</f>
        <v>0.54</v>
      </c>
      <c r="Z19" s="34" t="str">
        <f ca="1">IFERROR(__xludf.DUMMYFUNCTION("SUBSTITUTE(index(IMPORTHTML(""http://finviz.com/quote.ashx?t=""&amp;A19,""table"", 11),11,6),""*"","""")"),"Nov 20 BMO")</f>
        <v>Nov 20 BMO</v>
      </c>
      <c r="AA19" s="35" t="str">
        <f ca="1">IFERROR(__xludf.DUMMYFUNCTION("SUBSTITUTE(index(IMPORTHTML(""http://finviz.com/quote.ashx?t=""&amp;A19,""table"", 11),1,12),""*"","""")"),"-4.45%")</f>
        <v>-4.45%</v>
      </c>
      <c r="AB19" s="35" t="str">
        <f ca="1">IFERROR(__xludf.DUMMYFUNCTION("SUBSTITUTE(index(IMPORTHTML(""http://finviz.com/quote.ashx?t=""&amp;A19,""table"", 11),2,12),""*"","""")"),"1.16%")</f>
        <v>1.16%</v>
      </c>
      <c r="AC19" s="35" t="str">
        <f ca="1">IFERROR(__xludf.DUMMYFUNCTION("SUBSTITUTE(index(IMPORTHTML(""http://finviz.com/quote.ashx?t=""&amp;A19,""table"", 11),3,12),""*"","""")"),"25.17%")</f>
        <v>25.17%</v>
      </c>
      <c r="AD19" s="35" t="str">
        <f ca="1">IFERROR(__xludf.DUMMYFUNCTION("SUBSTITUTE(index(IMPORTHTML(""http://finviz.com/quote.ashx?t=""&amp;A19,""table"", 11),6,12),""*"","""")"),"63.64%")</f>
        <v>63.64%</v>
      </c>
      <c r="AE19" s="35" t="str">
        <f ca="1">IFERROR(__xludf.DUMMYFUNCTION("SUBSTITUTE(index(IMPORTHTML(""http://finviz.com/quote.ashx?t=""&amp;A19,""table"", 11),5,12),""*"","""")"),"31.99%")</f>
        <v>31.99%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ht="17.25" customHeight="1">
      <c r="A20" s="11" t="s">
        <v>49</v>
      </c>
      <c r="B20" s="12" t="str">
        <f ca="1">IFERROR(__xludf.DUMMYFUNCTION("GOOGLEFINANCE(A20,""name"")"),"Southern Co")</f>
        <v>Southern Co</v>
      </c>
      <c r="C20" s="13">
        <f ca="1">IFERROR(__xludf.DUMMYFUNCTION("googlefinance(A20,""price"")"),62.48)</f>
        <v>62.48</v>
      </c>
      <c r="D20" s="14">
        <v>1</v>
      </c>
      <c r="E20" s="13">
        <v>58.78</v>
      </c>
      <c r="F20" s="13">
        <f t="shared" si="0"/>
        <v>58.78</v>
      </c>
      <c r="G20" s="13">
        <f t="shared" ca="1" si="1"/>
        <v>62.48</v>
      </c>
      <c r="H20" s="15">
        <f t="shared" ca="1" si="2"/>
        <v>3.6999999999999957</v>
      </c>
      <c r="I20" s="16">
        <f t="shared" ca="1" si="3"/>
        <v>6.2946580469547389E-2</v>
      </c>
      <c r="J20" s="13" t="str">
        <f ca="1">IFERROR(__xludf.DUMMYFUNCTION("SUBSTITUTE(index(IMPORTHTML(""http://finviz.com/quote.ashx?t=""&amp;A20,""table"", 11),7,2),""*"","""")"),"2.48")</f>
        <v>2.48</v>
      </c>
      <c r="K20" s="17">
        <f t="shared" ca="1" si="4"/>
        <v>2.48</v>
      </c>
      <c r="L20" s="18">
        <f t="shared" ca="1" si="5"/>
        <v>4.2191221503912892E-2</v>
      </c>
      <c r="M20" s="18">
        <f t="shared" ca="1" si="6"/>
        <v>3.9692701664532655E-2</v>
      </c>
      <c r="N20" s="48">
        <f t="shared" ca="1" si="7"/>
        <v>1.4334779506404534E-2</v>
      </c>
      <c r="O20" s="19">
        <f t="shared" ca="1" si="8"/>
        <v>2.4985198393802366E-3</v>
      </c>
      <c r="P20" s="20">
        <f ca="1">IFERROR(__xludf.DUMMYFUNCTION("googlefinance(A20,""pe"")"),29.17)</f>
        <v>29.17</v>
      </c>
      <c r="Q20" s="14">
        <f ca="1">IFERROR(__xludf.DUMMYFUNCTION("googlefinance(A20,""eps"")"),2.14)</f>
        <v>2.14</v>
      </c>
      <c r="R20" s="13">
        <v>4</v>
      </c>
      <c r="S20" s="13">
        <f t="shared" ca="1" si="9"/>
        <v>0.62</v>
      </c>
      <c r="T20" s="13">
        <f ca="1">IFERROR(__xludf.DUMMYFUNCTION("GOOGLEFINANCE(A20,""high52"")"),62.88)</f>
        <v>62.88</v>
      </c>
      <c r="U20" s="13">
        <f ca="1">IFERROR(__xludf.DUMMYFUNCTION("googlefinance(A20,""low52"")"),42.5)</f>
        <v>42.5</v>
      </c>
      <c r="V20" s="13">
        <f ca="1">IFERROR(__xludf.DUMMYFUNCTION("GOOGLEFINANCE(A20,""Marketcap"")"),65379260802)</f>
        <v>65379260802</v>
      </c>
      <c r="W20" s="13">
        <f ca="1">IFERROR(__xludf.DUMMYFUNCTION("googlefinance(A20,""change"")"),1.59)</f>
        <v>1.59</v>
      </c>
      <c r="X20" s="18">
        <f ca="1">IFERROR(__xludf.DUMMYFUNCTION("googlefinance(A20,""changepct"")/100"),0.0260999999999999)</f>
        <v>2.6099999999999901E-2</v>
      </c>
      <c r="Y20" s="13">
        <f ca="1">IFERROR(__xludf.DUMMYFUNCTION("GOOGLEFINANCE(A20,""beta"")"),0.16)</f>
        <v>0.16</v>
      </c>
      <c r="Z20" s="21" t="str">
        <f ca="1">IFERROR(__xludf.DUMMYFUNCTION("SUBSTITUTE(index(IMPORTHTML(""http://finviz.com/quote.ashx?t=""&amp;A20,""table"", 11),11,6),""*"","""")"),"Oct 30 BMO")</f>
        <v>Oct 30 BMO</v>
      </c>
      <c r="AA20" s="22" t="str">
        <f ca="1">IFERROR(__xludf.DUMMYFUNCTION("SUBSTITUTE(index(IMPORTHTML(""http://finviz.com/quote.ashx?t=""&amp;A20,""table"", 11),1,12),""*"","""")"),"-0.85%")</f>
        <v>-0.85%</v>
      </c>
      <c r="AB20" s="22" t="str">
        <f ca="1">IFERROR(__xludf.DUMMYFUNCTION("SUBSTITUTE(index(IMPORTHTML(""http://finviz.com/quote.ashx?t=""&amp;A20,""table"", 11),2,12),""*"","""")"),"-1.38%")</f>
        <v>-1.38%</v>
      </c>
      <c r="AC20" s="22" t="str">
        <f ca="1">IFERROR(__xludf.DUMMYFUNCTION("SUBSTITUTE(index(IMPORTHTML(""http://finviz.com/quote.ashx?t=""&amp;A20,""table"", 11),3,12),""*"","""")"),"8.40%")</f>
        <v>8.40%</v>
      </c>
      <c r="AD20" s="22" t="str">
        <f ca="1">IFERROR(__xludf.DUMMYFUNCTION("SUBSTITUTE(index(IMPORTHTML(""http://finviz.com/quote.ashx?t=""&amp;A20,""table"", 11),6,12),""*"","""")"),"38.71%")</f>
        <v>38.71%</v>
      </c>
      <c r="AE20" s="22" t="str">
        <f ca="1">IFERROR(__xludf.DUMMYFUNCTION("SUBSTITUTE(index(IMPORTHTML(""http://finviz.com/quote.ashx?t=""&amp;A20,""table"", 11),5,12),""*"","""")"),"35.80%")</f>
        <v>35.80%</v>
      </c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ht="15">
      <c r="A21" s="49" t="s">
        <v>50</v>
      </c>
      <c r="B21" s="12"/>
      <c r="C21" s="12"/>
      <c r="D21" s="50">
        <f>SUM(D2:D20)</f>
        <v>79</v>
      </c>
      <c r="E21" s="51"/>
      <c r="F21" s="51">
        <f t="shared" ref="F21:H21" si="10">SUM(F2:F20)</f>
        <v>4273.7199999999993</v>
      </c>
      <c r="G21" s="51">
        <f t="shared" ca="1" si="10"/>
        <v>4358.63</v>
      </c>
      <c r="H21" s="51">
        <f t="shared" ca="1" si="10"/>
        <v>84.909999999999854</v>
      </c>
      <c r="I21" s="52">
        <f ca="1">(H21/G21)</f>
        <v>1.9480891931639037E-2</v>
      </c>
      <c r="J21" s="52"/>
      <c r="K21" s="53">
        <f ca="1">SUM(K2:K20)</f>
        <v>170.17999999999995</v>
      </c>
      <c r="L21" s="52"/>
      <c r="M21" s="52"/>
      <c r="N21" s="52"/>
      <c r="O21" s="52">
        <f ca="1">SUM(O2:O20)</f>
        <v>2.5391020380812347E-2</v>
      </c>
      <c r="P21" s="52"/>
      <c r="Q21" s="52"/>
      <c r="R21" s="52"/>
      <c r="S21" s="51">
        <f ca="1">SUM(S2:S20)</f>
        <v>41.638333333333321</v>
      </c>
      <c r="T21" s="52"/>
      <c r="U21" s="52"/>
      <c r="V21" s="52"/>
      <c r="W21" s="54">
        <f ca="1">SUM(W2:W20)</f>
        <v>-0.7</v>
      </c>
      <c r="X21" s="55">
        <f ca="1">AVERAGE(X2:X20)</f>
        <v>-8.9473684210526793E-4</v>
      </c>
      <c r="Y21" s="56"/>
      <c r="Z21" s="57"/>
      <c r="AA21" s="57"/>
      <c r="AB21" s="57"/>
      <c r="AC21" s="57"/>
      <c r="AD21" s="57"/>
      <c r="AE21" s="57"/>
      <c r="AF21" s="58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</row>
    <row r="22" spans="1:44" ht="15.75" customHeight="1">
      <c r="L22" s="59" t="s">
        <v>51</v>
      </c>
      <c r="M22" s="60">
        <v>3.9045999999999997E-2</v>
      </c>
    </row>
    <row r="23" spans="1:44" ht="15.75" customHeight="1">
      <c r="L23" s="59" t="s">
        <v>11</v>
      </c>
      <c r="M23" s="60">
        <v>3.9820000000000001E-2</v>
      </c>
    </row>
  </sheetData>
  <autoFilter ref="A1:AR20" xr:uid="{00000000-0009-0000-0000-000003000000}"/>
  <conditionalFormatting sqref="T1:U1">
    <cfRule type="timePeriod" dxfId="11" priority="1" timePeriod="today">
      <formula>FLOOR(T1,1)=TODAY()</formula>
    </cfRule>
  </conditionalFormatting>
  <conditionalFormatting sqref="AA2:AA20">
    <cfRule type="cellIs" dxfId="10" priority="2" operator="greaterThan">
      <formula>1</formula>
    </cfRule>
  </conditionalFormatting>
  <conditionalFormatting sqref="AA2:AA20">
    <cfRule type="cellIs" dxfId="9" priority="3" operator="lessThanOrEqual">
      <formula>0.5</formula>
    </cfRule>
  </conditionalFormatting>
  <conditionalFormatting sqref="P2:P20">
    <cfRule type="cellIs" dxfId="8" priority="4" operator="greaterThan">
      <formula>"0.00%"</formula>
    </cfRule>
  </conditionalFormatting>
  <conditionalFormatting sqref="H2:I20">
    <cfRule type="cellIs" dxfId="7" priority="5" operator="lessThanOrEqual">
      <formula>0</formula>
    </cfRule>
  </conditionalFormatting>
  <conditionalFormatting sqref="H2:I20">
    <cfRule type="cellIs" dxfId="6" priority="6" operator="greaterThan">
      <formula>0</formula>
    </cfRule>
  </conditionalFormatting>
  <conditionalFormatting sqref="P2:P20">
    <cfRule type="cellIs" dxfId="5" priority="7" operator="lessThan">
      <formula>"0%"</formula>
    </cfRule>
  </conditionalFormatting>
  <conditionalFormatting sqref="O2:O20">
    <cfRule type="cellIs" dxfId="4" priority="8" operator="greaterThanOrEqual">
      <formula>0</formula>
    </cfRule>
  </conditionalFormatting>
  <conditionalFormatting sqref="O2:O20">
    <cfRule type="cellIs" dxfId="3" priority="9" operator="lessThan">
      <formula>0</formula>
    </cfRule>
  </conditionalFormatting>
  <conditionalFormatting sqref="T1:U1">
    <cfRule type="timePeriod" dxfId="2" priority="10" timePeriod="today">
      <formula>FLOOR(T1,1)=TODAY()</formula>
    </cfRule>
  </conditionalFormatting>
  <conditionalFormatting sqref="W21:X21">
    <cfRule type="cellIs" dxfId="1" priority="11" operator="greaterThan">
      <formula>0</formula>
    </cfRule>
  </conditionalFormatting>
  <conditionalFormatting sqref="W21:X21">
    <cfRule type="cellIs" dxfId="0" priority="12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 Schwab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2019-10-30T17:30:50Z</dcterms:created>
  <dcterms:modified xsi:type="dcterms:W3CDTF">2019-10-30T17:43:51Z</dcterms:modified>
</cp:coreProperties>
</file>